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275" windowWidth="14355" windowHeight="6795" tabRatio="776"/>
  </bookViews>
  <sheets>
    <sheet name="პროგრამები" sheetId="4" r:id="rId1"/>
    <sheet name="ნსდს-საკასო სექტემბერ-მოსალოდნე" sheetId="6" r:id="rId2"/>
    <sheet name="სოცი-საკასო 9 თვე" sheetId="7" r:id="rId3"/>
    <sheet name="დაზუსტებული ბიუჯეტი-8,09,16" sheetId="8" r:id="rId4"/>
    <sheet name="სოცი-გაწეული-მოსალოდნელი" sheetId="9" r:id="rId5"/>
    <sheet name="მედიკამენტები" sheetId="10" r:id="rId6"/>
  </sheets>
  <externalReferences>
    <externalReference r:id="rId7"/>
  </externalReferences>
  <definedNames>
    <definedName name="_xlnm.Print_Area" localSheetId="0">პროგრამები!$B$2:$N$150</definedName>
    <definedName name="_xlnm.Print_Titles" localSheetId="0">პროგრამები!$4:$6</definedName>
  </definedNames>
  <calcPr calcId="145621"/>
</workbook>
</file>

<file path=xl/calcChain.xml><?xml version="1.0" encoding="utf-8"?>
<calcChain xmlns="http://schemas.openxmlformats.org/spreadsheetml/2006/main">
  <c r="L136" i="4" l="1"/>
  <c r="K136" i="4"/>
  <c r="N153" i="4"/>
  <c r="K103" i="4"/>
  <c r="M103" i="4"/>
  <c r="M129" i="4" l="1"/>
  <c r="M116" i="4"/>
  <c r="M111" i="4"/>
  <c r="L135" i="4"/>
  <c r="M146" i="4"/>
  <c r="K146" i="4"/>
  <c r="M141" i="4"/>
  <c r="K141" i="4"/>
  <c r="M136" i="4"/>
  <c r="K129" i="4"/>
  <c r="K116" i="4"/>
  <c r="K111" i="4"/>
  <c r="M100" i="4"/>
  <c r="M94" i="4"/>
  <c r="M86" i="4"/>
  <c r="M74" i="4"/>
  <c r="M67" i="4"/>
  <c r="M56" i="4"/>
  <c r="M46" i="4"/>
  <c r="M32" i="4"/>
  <c r="M31" i="4"/>
  <c r="K94" i="4"/>
  <c r="K86" i="4"/>
  <c r="K80" i="4"/>
  <c r="K67" i="4"/>
  <c r="K56" i="4"/>
  <c r="K46" i="4"/>
  <c r="K32" i="4"/>
  <c r="L4" i="9"/>
  <c r="L5" i="9"/>
  <c r="L6" i="9"/>
  <c r="L7" i="9"/>
  <c r="L8" i="9"/>
  <c r="L9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58" i="9"/>
  <c r="L59" i="9"/>
  <c r="L60" i="9"/>
  <c r="L61" i="9"/>
  <c r="L62" i="9"/>
  <c r="L63" i="9"/>
  <c r="L64" i="9"/>
  <c r="L65" i="9"/>
  <c r="L66" i="9"/>
  <c r="L67" i="9"/>
  <c r="L68" i="9"/>
  <c r="L3" i="9"/>
  <c r="J116" i="4" l="1"/>
  <c r="L116" i="4"/>
  <c r="J80" i="4"/>
  <c r="L80" i="4"/>
  <c r="M80" i="4" s="1"/>
  <c r="P68" i="9"/>
  <c r="L71" i="4"/>
  <c r="L56" i="4"/>
  <c r="J56" i="4"/>
  <c r="E56" i="4"/>
  <c r="L65" i="4"/>
  <c r="T68" i="9" l="1"/>
  <c r="U68" i="9" s="1"/>
  <c r="R68" i="9"/>
  <c r="S68" i="9" s="1"/>
  <c r="Q67" i="9"/>
  <c r="O67" i="9"/>
  <c r="N67" i="9"/>
  <c r="M67" i="9"/>
  <c r="K67" i="9"/>
  <c r="J67" i="9"/>
  <c r="I67" i="9"/>
  <c r="H67" i="9"/>
  <c r="G67" i="9"/>
  <c r="F67" i="9"/>
  <c r="E67" i="9"/>
  <c r="D67" i="9"/>
  <c r="C67" i="9"/>
  <c r="B67" i="9"/>
  <c r="T67" i="9" s="1"/>
  <c r="T66" i="9"/>
  <c r="U66" i="9" s="1"/>
  <c r="R66" i="9"/>
  <c r="S66" i="9" s="1"/>
  <c r="P66" i="9"/>
  <c r="T65" i="9"/>
  <c r="U65" i="9" s="1"/>
  <c r="P65" i="9"/>
  <c r="R65" i="9" s="1"/>
  <c r="S65" i="9" s="1"/>
  <c r="Q64" i="9"/>
  <c r="O64" i="9"/>
  <c r="N64" i="9"/>
  <c r="M64" i="9"/>
  <c r="K64" i="9"/>
  <c r="J64" i="9"/>
  <c r="I64" i="9"/>
  <c r="H64" i="9"/>
  <c r="G64" i="9"/>
  <c r="F64" i="9"/>
  <c r="E64" i="9"/>
  <c r="D64" i="9"/>
  <c r="C64" i="9"/>
  <c r="B64" i="9"/>
  <c r="T63" i="9"/>
  <c r="U63" i="9" s="1"/>
  <c r="R63" i="9"/>
  <c r="S63" i="9" s="1"/>
  <c r="P63" i="9"/>
  <c r="T62" i="9"/>
  <c r="U62" i="9" s="1"/>
  <c r="P62" i="9"/>
  <c r="R62" i="9" s="1"/>
  <c r="S62" i="9" s="1"/>
  <c r="T61" i="9"/>
  <c r="U61" i="9" s="1"/>
  <c r="R61" i="9"/>
  <c r="S61" i="9" s="1"/>
  <c r="P61" i="9"/>
  <c r="T60" i="9"/>
  <c r="U60" i="9" s="1"/>
  <c r="P60" i="9"/>
  <c r="R60" i="9" s="1"/>
  <c r="S60" i="9" s="1"/>
  <c r="Q59" i="9"/>
  <c r="O59" i="9"/>
  <c r="N59" i="9"/>
  <c r="M59" i="9"/>
  <c r="K59" i="9"/>
  <c r="J59" i="9"/>
  <c r="I59" i="9"/>
  <c r="H59" i="9"/>
  <c r="G59" i="9"/>
  <c r="F59" i="9"/>
  <c r="E59" i="9"/>
  <c r="D59" i="9"/>
  <c r="C59" i="9"/>
  <c r="B59" i="9"/>
  <c r="T59" i="9" s="1"/>
  <c r="T58" i="9"/>
  <c r="U58" i="9" s="1"/>
  <c r="R58" i="9"/>
  <c r="S58" i="9" s="1"/>
  <c r="P58" i="9"/>
  <c r="T57" i="9"/>
  <c r="U57" i="9" s="1"/>
  <c r="P57" i="9"/>
  <c r="R57" i="9" s="1"/>
  <c r="S57" i="9" s="1"/>
  <c r="T56" i="9"/>
  <c r="U56" i="9" s="1"/>
  <c r="R56" i="9"/>
  <c r="S56" i="9" s="1"/>
  <c r="P56" i="9"/>
  <c r="T55" i="9"/>
  <c r="U55" i="9" s="1"/>
  <c r="P55" i="9"/>
  <c r="R55" i="9" s="1"/>
  <c r="S55" i="9" s="1"/>
  <c r="Q54" i="9"/>
  <c r="O54" i="9"/>
  <c r="N54" i="9"/>
  <c r="M54" i="9"/>
  <c r="K54" i="9"/>
  <c r="J54" i="9"/>
  <c r="I54" i="9"/>
  <c r="H54" i="9"/>
  <c r="G54" i="9"/>
  <c r="F54" i="9"/>
  <c r="E54" i="9"/>
  <c r="D54" i="9"/>
  <c r="C54" i="9"/>
  <c r="B54" i="9"/>
  <c r="T54" i="9" s="1"/>
  <c r="T53" i="9"/>
  <c r="U53" i="9" s="1"/>
  <c r="R53" i="9"/>
  <c r="S53" i="9" s="1"/>
  <c r="P53" i="9"/>
  <c r="T52" i="9"/>
  <c r="U52" i="9" s="1"/>
  <c r="P52" i="9"/>
  <c r="R52" i="9" s="1"/>
  <c r="S52" i="9" s="1"/>
  <c r="T51" i="9"/>
  <c r="U51" i="9" s="1"/>
  <c r="R51" i="9"/>
  <c r="S51" i="9" s="1"/>
  <c r="P51" i="9"/>
  <c r="T50" i="9"/>
  <c r="U50" i="9" s="1"/>
  <c r="P50" i="9"/>
  <c r="R50" i="9" s="1"/>
  <c r="S50" i="9" s="1"/>
  <c r="T49" i="9"/>
  <c r="U49" i="9" s="1"/>
  <c r="P49" i="9"/>
  <c r="R49" i="9" s="1"/>
  <c r="S49" i="9" s="1"/>
  <c r="T48" i="9"/>
  <c r="U48" i="9" s="1"/>
  <c r="R48" i="9"/>
  <c r="S48" i="9" s="1"/>
  <c r="P48" i="9"/>
  <c r="Q47" i="9"/>
  <c r="O47" i="9"/>
  <c r="N47" i="9"/>
  <c r="M47" i="9"/>
  <c r="K47" i="9"/>
  <c r="J47" i="9"/>
  <c r="I47" i="9"/>
  <c r="H47" i="9"/>
  <c r="G47" i="9"/>
  <c r="F47" i="9"/>
  <c r="E47" i="9"/>
  <c r="D47" i="9"/>
  <c r="C47" i="9"/>
  <c r="B47" i="9"/>
  <c r="T46" i="9"/>
  <c r="U46" i="9" s="1"/>
  <c r="R46" i="9"/>
  <c r="S46" i="9" s="1"/>
  <c r="P46" i="9"/>
  <c r="T45" i="9"/>
  <c r="U45" i="9" s="1"/>
  <c r="P45" i="9"/>
  <c r="R45" i="9" s="1"/>
  <c r="S45" i="9" s="1"/>
  <c r="T44" i="9"/>
  <c r="U44" i="9" s="1"/>
  <c r="R44" i="9"/>
  <c r="S44" i="9" s="1"/>
  <c r="P44" i="9"/>
  <c r="Q43" i="9"/>
  <c r="O43" i="9"/>
  <c r="N43" i="9"/>
  <c r="M43" i="9"/>
  <c r="K43" i="9"/>
  <c r="J43" i="9"/>
  <c r="I43" i="9"/>
  <c r="H43" i="9"/>
  <c r="G43" i="9"/>
  <c r="F43" i="9"/>
  <c r="E43" i="9"/>
  <c r="D43" i="9"/>
  <c r="C43" i="9"/>
  <c r="B43" i="9"/>
  <c r="T43" i="9" s="1"/>
  <c r="T42" i="9"/>
  <c r="U42" i="9" s="1"/>
  <c r="R42" i="9"/>
  <c r="S42" i="9" s="1"/>
  <c r="P42" i="9"/>
  <c r="U41" i="9"/>
  <c r="T41" i="9"/>
  <c r="P41" i="9"/>
  <c r="R41" i="9" s="1"/>
  <c r="S41" i="9" s="1"/>
  <c r="Q40" i="9"/>
  <c r="O40" i="9"/>
  <c r="N40" i="9"/>
  <c r="M40" i="9"/>
  <c r="K40" i="9"/>
  <c r="J40" i="9"/>
  <c r="I40" i="9"/>
  <c r="H40" i="9"/>
  <c r="G40" i="9"/>
  <c r="F40" i="9"/>
  <c r="E40" i="9"/>
  <c r="D40" i="9"/>
  <c r="C40" i="9"/>
  <c r="B40" i="9"/>
  <c r="T40" i="9" s="1"/>
  <c r="T39" i="9"/>
  <c r="U39" i="9" s="1"/>
  <c r="P39" i="9"/>
  <c r="R39" i="9" s="1"/>
  <c r="S39" i="9" s="1"/>
  <c r="T38" i="9"/>
  <c r="U38" i="9" s="1"/>
  <c r="R38" i="9"/>
  <c r="S38" i="9" s="1"/>
  <c r="P38" i="9"/>
  <c r="T37" i="9"/>
  <c r="U37" i="9" s="1"/>
  <c r="P37" i="9"/>
  <c r="R37" i="9" s="1"/>
  <c r="S37" i="9" s="1"/>
  <c r="T36" i="9"/>
  <c r="U36" i="9" s="1"/>
  <c r="R36" i="9"/>
  <c r="S36" i="9" s="1"/>
  <c r="P36" i="9"/>
  <c r="Q35" i="9"/>
  <c r="O35" i="9"/>
  <c r="N35" i="9"/>
  <c r="M35" i="9"/>
  <c r="K35" i="9"/>
  <c r="J35" i="9"/>
  <c r="I35" i="9"/>
  <c r="H35" i="9"/>
  <c r="G35" i="9"/>
  <c r="F35" i="9"/>
  <c r="E35" i="9"/>
  <c r="D35" i="9"/>
  <c r="C35" i="9"/>
  <c r="B35" i="9"/>
  <c r="T35" i="9" s="1"/>
  <c r="T34" i="9"/>
  <c r="R34" i="9"/>
  <c r="S34" i="9" s="1"/>
  <c r="P34" i="9"/>
  <c r="O33" i="9"/>
  <c r="N33" i="9"/>
  <c r="M33" i="9"/>
  <c r="K33" i="9"/>
  <c r="J33" i="9"/>
  <c r="I33" i="9"/>
  <c r="H33" i="9"/>
  <c r="G33" i="9"/>
  <c r="F33" i="9"/>
  <c r="E33" i="9"/>
  <c r="D33" i="9"/>
  <c r="B33" i="9"/>
  <c r="T32" i="9"/>
  <c r="U32" i="9" s="1"/>
  <c r="P32" i="9"/>
  <c r="R32" i="9" s="1"/>
  <c r="S32" i="9" s="1"/>
  <c r="T31" i="9"/>
  <c r="U31" i="9" s="1"/>
  <c r="R31" i="9"/>
  <c r="S31" i="9" s="1"/>
  <c r="P31" i="9"/>
  <c r="O30" i="9"/>
  <c r="N30" i="9"/>
  <c r="M30" i="9"/>
  <c r="K30" i="9"/>
  <c r="J30" i="9"/>
  <c r="I30" i="9"/>
  <c r="H30" i="9"/>
  <c r="G30" i="9"/>
  <c r="F30" i="9"/>
  <c r="E30" i="9"/>
  <c r="D30" i="9"/>
  <c r="C30" i="9"/>
  <c r="B30" i="9"/>
  <c r="T29" i="9"/>
  <c r="U29" i="9" s="1"/>
  <c r="R29" i="9"/>
  <c r="S29" i="9" s="1"/>
  <c r="P29" i="9"/>
  <c r="T28" i="9"/>
  <c r="U28" i="9" s="1"/>
  <c r="P28" i="9"/>
  <c r="R28" i="9" s="1"/>
  <c r="S28" i="9" s="1"/>
  <c r="T27" i="9"/>
  <c r="U27" i="9" s="1"/>
  <c r="P27" i="9"/>
  <c r="R27" i="9" s="1"/>
  <c r="S27" i="9" s="1"/>
  <c r="T26" i="9"/>
  <c r="U26" i="9" s="1"/>
  <c r="P26" i="9"/>
  <c r="R26" i="9" s="1"/>
  <c r="S26" i="9" s="1"/>
  <c r="T25" i="9"/>
  <c r="U25" i="9" s="1"/>
  <c r="R25" i="9"/>
  <c r="S25" i="9" s="1"/>
  <c r="P25" i="9"/>
  <c r="T24" i="9"/>
  <c r="U24" i="9" s="1"/>
  <c r="P24" i="9"/>
  <c r="R24" i="9" s="1"/>
  <c r="S24" i="9" s="1"/>
  <c r="T23" i="9"/>
  <c r="U23" i="9" s="1"/>
  <c r="R23" i="9"/>
  <c r="S23" i="9" s="1"/>
  <c r="P23" i="9"/>
  <c r="Q22" i="9"/>
  <c r="O22" i="9"/>
  <c r="N22" i="9"/>
  <c r="M22" i="9"/>
  <c r="K22" i="9"/>
  <c r="J22" i="9"/>
  <c r="I22" i="9"/>
  <c r="H22" i="9"/>
  <c r="G22" i="9"/>
  <c r="F22" i="9"/>
  <c r="E22" i="9"/>
  <c r="D22" i="9"/>
  <c r="C22" i="9"/>
  <c r="B22" i="9"/>
  <c r="T22" i="9" s="1"/>
  <c r="T21" i="9"/>
  <c r="U21" i="9" s="1"/>
  <c r="R21" i="9"/>
  <c r="S21" i="9" s="1"/>
  <c r="P21" i="9"/>
  <c r="U20" i="9"/>
  <c r="T20" i="9"/>
  <c r="P20" i="9"/>
  <c r="R20" i="9" s="1"/>
  <c r="S20" i="9" s="1"/>
  <c r="T19" i="9"/>
  <c r="U19" i="9" s="1"/>
  <c r="R19" i="9"/>
  <c r="S19" i="9" s="1"/>
  <c r="P19" i="9"/>
  <c r="U18" i="9"/>
  <c r="T18" i="9"/>
  <c r="P18" i="9"/>
  <c r="R18" i="9" s="1"/>
  <c r="S18" i="9" s="1"/>
  <c r="Q17" i="9"/>
  <c r="O17" i="9"/>
  <c r="N17" i="9"/>
  <c r="M17" i="9"/>
  <c r="K17" i="9"/>
  <c r="J17" i="9"/>
  <c r="I17" i="9"/>
  <c r="H17" i="9"/>
  <c r="G17" i="9"/>
  <c r="F17" i="9"/>
  <c r="E17" i="9"/>
  <c r="D17" i="9"/>
  <c r="C17" i="9"/>
  <c r="B17" i="9"/>
  <c r="T17" i="9" s="1"/>
  <c r="T16" i="9"/>
  <c r="U16" i="9" s="1"/>
  <c r="P16" i="9"/>
  <c r="R16" i="9" s="1"/>
  <c r="S16" i="9" s="1"/>
  <c r="T15" i="9"/>
  <c r="U15" i="9" s="1"/>
  <c r="P15" i="9"/>
  <c r="R15" i="9" s="1"/>
  <c r="S15" i="9" s="1"/>
  <c r="T14" i="9"/>
  <c r="U14" i="9" s="1"/>
  <c r="P14" i="9"/>
  <c r="R14" i="9" s="1"/>
  <c r="S14" i="9" s="1"/>
  <c r="T13" i="9"/>
  <c r="U13" i="9" s="1"/>
  <c r="R13" i="9"/>
  <c r="S13" i="9" s="1"/>
  <c r="P13" i="9"/>
  <c r="Q12" i="9"/>
  <c r="O12" i="9"/>
  <c r="N12" i="9"/>
  <c r="M12" i="9"/>
  <c r="K12" i="9"/>
  <c r="J12" i="9"/>
  <c r="I12" i="9"/>
  <c r="H12" i="9"/>
  <c r="G12" i="9"/>
  <c r="F12" i="9"/>
  <c r="E12" i="9"/>
  <c r="D12" i="9"/>
  <c r="C12" i="9"/>
  <c r="B12" i="9"/>
  <c r="T11" i="9"/>
  <c r="U11" i="9" s="1"/>
  <c r="R11" i="9"/>
  <c r="S11" i="9" s="1"/>
  <c r="P11" i="9"/>
  <c r="U10" i="9"/>
  <c r="T10" i="9"/>
  <c r="P10" i="9"/>
  <c r="R10" i="9" s="1"/>
  <c r="S10" i="9" s="1"/>
  <c r="Q9" i="9"/>
  <c r="O9" i="9"/>
  <c r="N9" i="9"/>
  <c r="M9" i="9"/>
  <c r="K9" i="9"/>
  <c r="J9" i="9"/>
  <c r="I9" i="9"/>
  <c r="H9" i="9"/>
  <c r="G9" i="9"/>
  <c r="F9" i="9"/>
  <c r="E9" i="9"/>
  <c r="D9" i="9"/>
  <c r="C9" i="9"/>
  <c r="B9" i="9"/>
  <c r="U8" i="9"/>
  <c r="T8" i="9"/>
  <c r="P8" i="9"/>
  <c r="R8" i="9" s="1"/>
  <c r="S8" i="9" s="1"/>
  <c r="T7" i="9"/>
  <c r="U7" i="9" s="1"/>
  <c r="R7" i="9"/>
  <c r="S7" i="9" s="1"/>
  <c r="P7" i="9"/>
  <c r="U6" i="9"/>
  <c r="T6" i="9"/>
  <c r="P6" i="9"/>
  <c r="R6" i="9" s="1"/>
  <c r="S6" i="9" s="1"/>
  <c r="O5" i="9"/>
  <c r="N5" i="9"/>
  <c r="M5" i="9"/>
  <c r="K5" i="9"/>
  <c r="J5" i="9"/>
  <c r="I5" i="9"/>
  <c r="H5" i="9"/>
  <c r="G5" i="9"/>
  <c r="F5" i="9"/>
  <c r="E5" i="9"/>
  <c r="D5" i="9"/>
  <c r="C5" i="9"/>
  <c r="T5" i="9" s="1"/>
  <c r="T4" i="9"/>
  <c r="U4" i="9" s="1"/>
  <c r="R4" i="9"/>
  <c r="S4" i="9" s="1"/>
  <c r="P4" i="9"/>
  <c r="Q3" i="9"/>
  <c r="O3" i="9"/>
  <c r="N3" i="9"/>
  <c r="M3" i="9"/>
  <c r="K3" i="9"/>
  <c r="J3" i="9"/>
  <c r="I3" i="9"/>
  <c r="H3" i="9"/>
  <c r="G3" i="9"/>
  <c r="F3" i="9"/>
  <c r="E3" i="9"/>
  <c r="D3" i="9"/>
  <c r="B3" i="9"/>
  <c r="T3" i="9" s="1"/>
  <c r="T47" i="9" l="1"/>
  <c r="T9" i="9"/>
  <c r="T12" i="9"/>
  <c r="T30" i="9"/>
  <c r="T33" i="9"/>
  <c r="U40" i="9"/>
  <c r="U43" i="9"/>
  <c r="U47" i="9"/>
  <c r="T64" i="9"/>
  <c r="U9" i="9"/>
  <c r="U3" i="9"/>
  <c r="P5" i="9"/>
  <c r="R5" i="9" s="1"/>
  <c r="S5" i="9" s="1"/>
  <c r="P9" i="9"/>
  <c r="R9" i="9" s="1"/>
  <c r="S9" i="9" s="1"/>
  <c r="U12" i="9"/>
  <c r="U17" i="9"/>
  <c r="P3" i="9"/>
  <c r="R3" i="9" s="1"/>
  <c r="S3" i="9" s="1"/>
  <c r="P12" i="9"/>
  <c r="R12" i="9" s="1"/>
  <c r="S12" i="9" s="1"/>
  <c r="U54" i="9"/>
  <c r="U64" i="9"/>
  <c r="P17" i="9"/>
  <c r="R17" i="9" s="1"/>
  <c r="S17" i="9" s="1"/>
  <c r="P30" i="9"/>
  <c r="R30" i="9" s="1"/>
  <c r="S30" i="9" s="1"/>
  <c r="P33" i="9"/>
  <c r="R33" i="9" s="1"/>
  <c r="S33" i="9" s="1"/>
  <c r="P43" i="9"/>
  <c r="R43" i="9"/>
  <c r="S43" i="9" s="1"/>
  <c r="P47" i="9"/>
  <c r="R47" i="9"/>
  <c r="S47" i="9" s="1"/>
  <c r="P59" i="9"/>
  <c r="R59" i="9" s="1"/>
  <c r="S59" i="9" s="1"/>
  <c r="P64" i="9"/>
  <c r="R64" i="9" s="1"/>
  <c r="S64" i="9" s="1"/>
  <c r="U67" i="9"/>
  <c r="P22" i="9"/>
  <c r="R22" i="9" s="1"/>
  <c r="S22" i="9" s="1"/>
  <c r="P35" i="9"/>
  <c r="R35" i="9" s="1"/>
  <c r="S35" i="9" s="1"/>
  <c r="P40" i="9"/>
  <c r="R40" i="9" s="1"/>
  <c r="S40" i="9" s="1"/>
  <c r="P54" i="9"/>
  <c r="R54" i="9" s="1"/>
  <c r="S54" i="9" s="1"/>
  <c r="P67" i="9"/>
  <c r="R67" i="9" s="1"/>
  <c r="S67" i="9" s="1"/>
  <c r="D92" i="7" l="1"/>
  <c r="C92" i="7"/>
  <c r="N91" i="7"/>
  <c r="G91" i="7"/>
  <c r="F91" i="7"/>
  <c r="G90" i="7"/>
  <c r="F90" i="7"/>
  <c r="BE89" i="7"/>
  <c r="BD89" i="7"/>
  <c r="BC89" i="7"/>
  <c r="BB89" i="7"/>
  <c r="BA89" i="7"/>
  <c r="AZ89" i="7"/>
  <c r="AY89" i="7"/>
  <c r="AX89" i="7"/>
  <c r="AW89" i="7"/>
  <c r="AV89" i="7"/>
  <c r="AU89" i="7"/>
  <c r="AT89" i="7"/>
  <c r="AO89" i="7"/>
  <c r="AN89" i="7"/>
  <c r="AM89" i="7"/>
  <c r="AL89" i="7"/>
  <c r="AK89" i="7"/>
  <c r="AJ89" i="7"/>
  <c r="AI89" i="7"/>
  <c r="AH89" i="7"/>
  <c r="AG89" i="7"/>
  <c r="AF89" i="7"/>
  <c r="AE89" i="7"/>
  <c r="AD89" i="7"/>
  <c r="AC89" i="7"/>
  <c r="AB89" i="7"/>
  <c r="AA89" i="7"/>
  <c r="Z89" i="7"/>
  <c r="Y89" i="7"/>
  <c r="X89" i="7"/>
  <c r="W89" i="7"/>
  <c r="V89" i="7"/>
  <c r="U89" i="7"/>
  <c r="T89" i="7"/>
  <c r="S89" i="7"/>
  <c r="R89" i="7"/>
  <c r="Q89" i="7"/>
  <c r="P89" i="7"/>
  <c r="O89" i="7"/>
  <c r="N89" i="7"/>
  <c r="M89" i="7"/>
  <c r="L89" i="7"/>
  <c r="K89" i="7"/>
  <c r="J89" i="7"/>
  <c r="I89" i="7"/>
  <c r="H89" i="7"/>
  <c r="G89" i="7"/>
  <c r="F89" i="7"/>
  <c r="E89" i="7"/>
  <c r="G88" i="7"/>
  <c r="F88" i="7"/>
  <c r="G87" i="7"/>
  <c r="F87" i="7"/>
  <c r="G86" i="7"/>
  <c r="F86" i="7"/>
  <c r="R85" i="7"/>
  <c r="G85" i="7"/>
  <c r="F85" i="7"/>
  <c r="BE84" i="7"/>
  <c r="BD84" i="7"/>
  <c r="BC84" i="7"/>
  <c r="BB84" i="7"/>
  <c r="BA84" i="7"/>
  <c r="AZ84" i="7"/>
  <c r="AY84" i="7"/>
  <c r="AX84" i="7"/>
  <c r="AW84" i="7"/>
  <c r="AV84" i="7"/>
  <c r="AU84" i="7"/>
  <c r="AT84" i="7"/>
  <c r="AO84" i="7"/>
  <c r="AN84" i="7"/>
  <c r="AM84" i="7"/>
  <c r="AL84" i="7"/>
  <c r="AK84" i="7"/>
  <c r="AJ84" i="7"/>
  <c r="AI84" i="7"/>
  <c r="AH84" i="7"/>
  <c r="AG84" i="7"/>
  <c r="AF84" i="7"/>
  <c r="AE84" i="7"/>
  <c r="AD84" i="7"/>
  <c r="AC84" i="7"/>
  <c r="AB84" i="7"/>
  <c r="AA84" i="7"/>
  <c r="Z84" i="7"/>
  <c r="Y84" i="7"/>
  <c r="X84" i="7"/>
  <c r="W84" i="7"/>
  <c r="V84" i="7"/>
  <c r="U84" i="7"/>
  <c r="T84" i="7"/>
  <c r="S84" i="7"/>
  <c r="R84" i="7"/>
  <c r="Q84" i="7"/>
  <c r="P84" i="7"/>
  <c r="O84" i="7"/>
  <c r="N84" i="7"/>
  <c r="M84" i="7"/>
  <c r="L84" i="7"/>
  <c r="K84" i="7"/>
  <c r="J84" i="7"/>
  <c r="I84" i="7"/>
  <c r="H84" i="7"/>
  <c r="G84" i="7"/>
  <c r="F84" i="7"/>
  <c r="E84" i="7"/>
  <c r="G83" i="7"/>
  <c r="F83" i="7"/>
  <c r="G82" i="7"/>
  <c r="F82" i="7"/>
  <c r="O81" i="7"/>
  <c r="G81" i="7"/>
  <c r="F81" i="7"/>
  <c r="O80" i="7"/>
  <c r="G80" i="7"/>
  <c r="F80" i="7"/>
  <c r="BE79" i="7"/>
  <c r="BD79" i="7"/>
  <c r="BC79" i="7"/>
  <c r="BB79" i="7"/>
  <c r="BA79" i="7"/>
  <c r="AZ79" i="7"/>
  <c r="AY79" i="7"/>
  <c r="AX79" i="7"/>
  <c r="AW79" i="7"/>
  <c r="AV79" i="7"/>
  <c r="AU79" i="7"/>
  <c r="AT79" i="7"/>
  <c r="AO79" i="7"/>
  <c r="AN79" i="7"/>
  <c r="AM79" i="7"/>
  <c r="AL79" i="7"/>
  <c r="AK79" i="7"/>
  <c r="AJ79" i="7"/>
  <c r="AI79" i="7"/>
  <c r="AH79" i="7"/>
  <c r="AG79" i="7"/>
  <c r="AF79" i="7"/>
  <c r="AE79" i="7"/>
  <c r="AD79" i="7"/>
  <c r="AC79" i="7"/>
  <c r="AB79" i="7"/>
  <c r="AA79" i="7"/>
  <c r="Z79" i="7"/>
  <c r="Y79" i="7"/>
  <c r="X79" i="7"/>
  <c r="W79" i="7"/>
  <c r="V79" i="7"/>
  <c r="U79" i="7"/>
  <c r="T79" i="7"/>
  <c r="S79" i="7"/>
  <c r="R79" i="7"/>
  <c r="Q79" i="7"/>
  <c r="P79" i="7"/>
  <c r="O79" i="7"/>
  <c r="N79" i="7"/>
  <c r="M79" i="7"/>
  <c r="L79" i="7"/>
  <c r="K79" i="7"/>
  <c r="J79" i="7"/>
  <c r="I79" i="7"/>
  <c r="H79" i="7"/>
  <c r="G79" i="7"/>
  <c r="F79" i="7"/>
  <c r="E79" i="7"/>
  <c r="G78" i="7"/>
  <c r="F78" i="7"/>
  <c r="G77" i="7"/>
  <c r="F77" i="7"/>
  <c r="G76" i="7"/>
  <c r="F76" i="7"/>
  <c r="G75" i="7"/>
  <c r="F75" i="7"/>
  <c r="G74" i="7"/>
  <c r="F74" i="7"/>
  <c r="BE73" i="7"/>
  <c r="BD73" i="7"/>
  <c r="BC73" i="7"/>
  <c r="BB73" i="7"/>
  <c r="BA73" i="7"/>
  <c r="AZ73" i="7"/>
  <c r="AY73" i="7"/>
  <c r="AX73" i="7"/>
  <c r="AW73" i="7"/>
  <c r="AV73" i="7"/>
  <c r="AU73" i="7"/>
  <c r="AT73" i="7"/>
  <c r="AO73" i="7"/>
  <c r="AN73" i="7"/>
  <c r="AM73" i="7"/>
  <c r="AL73" i="7"/>
  <c r="AK73" i="7"/>
  <c r="AJ73" i="7"/>
  <c r="AI73" i="7"/>
  <c r="AH73" i="7"/>
  <c r="AG73" i="7"/>
  <c r="AF73" i="7"/>
  <c r="AE73" i="7"/>
  <c r="AD73" i="7"/>
  <c r="AC73" i="7"/>
  <c r="AB73" i="7"/>
  <c r="AA73" i="7"/>
  <c r="Z73" i="7"/>
  <c r="Y73" i="7"/>
  <c r="X73" i="7"/>
  <c r="W73" i="7"/>
  <c r="V73" i="7"/>
  <c r="U73" i="7"/>
  <c r="T73" i="7"/>
  <c r="S73" i="7"/>
  <c r="R73" i="7"/>
  <c r="Q73" i="7"/>
  <c r="P73" i="7"/>
  <c r="O73" i="7"/>
  <c r="N73" i="7"/>
  <c r="M73" i="7"/>
  <c r="L73" i="7"/>
  <c r="K73" i="7"/>
  <c r="J73" i="7"/>
  <c r="I73" i="7"/>
  <c r="H73" i="7"/>
  <c r="G73" i="7"/>
  <c r="F73" i="7"/>
  <c r="E73" i="7"/>
  <c r="W72" i="7"/>
  <c r="V72" i="7"/>
  <c r="S72" i="7"/>
  <c r="G72" i="7" s="1"/>
  <c r="F72" i="7"/>
  <c r="G71" i="7"/>
  <c r="F71" i="7"/>
  <c r="AM70" i="7"/>
  <c r="AL70" i="7"/>
  <c r="AE70" i="7"/>
  <c r="AD70" i="7"/>
  <c r="W70" i="7"/>
  <c r="V70" i="7"/>
  <c r="F70" i="7" s="1"/>
  <c r="O70" i="7"/>
  <c r="G70" i="7"/>
  <c r="AI69" i="7"/>
  <c r="AH69" i="7"/>
  <c r="O69" i="7"/>
  <c r="G69" i="7" s="1"/>
  <c r="G61" i="7" s="1"/>
  <c r="F69" i="7"/>
  <c r="G68" i="7"/>
  <c r="F68" i="7"/>
  <c r="W67" i="7"/>
  <c r="V67" i="7"/>
  <c r="I67" i="7"/>
  <c r="H67" i="7"/>
  <c r="G67" i="7"/>
  <c r="F67" i="7"/>
  <c r="AI66" i="7"/>
  <c r="AH66" i="7"/>
  <c r="AE66" i="7"/>
  <c r="AD66" i="7"/>
  <c r="AA66" i="7"/>
  <c r="Z66" i="7"/>
  <c r="F66" i="7" s="1"/>
  <c r="F61" i="7" s="1"/>
  <c r="S66" i="7"/>
  <c r="G66" i="7"/>
  <c r="AI65" i="7"/>
  <c r="AH65" i="7"/>
  <c r="AE65" i="7"/>
  <c r="AD65" i="7"/>
  <c r="AA65" i="7"/>
  <c r="Z65" i="7"/>
  <c r="W65" i="7"/>
  <c r="V65" i="7"/>
  <c r="S65" i="7"/>
  <c r="O65" i="7"/>
  <c r="G65" i="7"/>
  <c r="F65" i="7"/>
  <c r="G64" i="7"/>
  <c r="F64" i="7"/>
  <c r="I63" i="7"/>
  <c r="H63" i="7"/>
  <c r="G63" i="7"/>
  <c r="F63" i="7"/>
  <c r="G62" i="7"/>
  <c r="F62" i="7"/>
  <c r="BE61" i="7"/>
  <c r="BD61" i="7"/>
  <c r="BC61" i="7"/>
  <c r="BB61" i="7"/>
  <c r="BA61" i="7"/>
  <c r="AZ61" i="7"/>
  <c r="AY61" i="7"/>
  <c r="AX61" i="7"/>
  <c r="AW61" i="7"/>
  <c r="AV61" i="7"/>
  <c r="AU61" i="7"/>
  <c r="AT61" i="7"/>
  <c r="AS61" i="7"/>
  <c r="AR61" i="7"/>
  <c r="AQ61" i="7"/>
  <c r="AP61" i="7"/>
  <c r="AO61" i="7"/>
  <c r="AN61" i="7"/>
  <c r="AM61" i="7"/>
  <c r="AL61" i="7"/>
  <c r="AK61" i="7"/>
  <c r="AJ61" i="7"/>
  <c r="AI61" i="7"/>
  <c r="AH61" i="7"/>
  <c r="AG61" i="7"/>
  <c r="AF61" i="7"/>
  <c r="AE61" i="7"/>
  <c r="AD61" i="7"/>
  <c r="AC61" i="7"/>
  <c r="AB61" i="7"/>
  <c r="AA61" i="7"/>
  <c r="Z61" i="7"/>
  <c r="Y61" i="7"/>
  <c r="X61" i="7"/>
  <c r="W61" i="7"/>
  <c r="V61" i="7"/>
  <c r="U61" i="7"/>
  <c r="T61" i="7"/>
  <c r="S61" i="7"/>
  <c r="R61" i="7"/>
  <c r="Q61" i="7"/>
  <c r="P61" i="7"/>
  <c r="O61" i="7"/>
  <c r="N61" i="7"/>
  <c r="M61" i="7"/>
  <c r="L61" i="7"/>
  <c r="K61" i="7"/>
  <c r="J61" i="7"/>
  <c r="I61" i="7"/>
  <c r="H61" i="7"/>
  <c r="E61" i="7"/>
  <c r="AA60" i="7"/>
  <c r="Z60" i="7"/>
  <c r="W60" i="7"/>
  <c r="V60" i="7"/>
  <c r="G60" i="7"/>
  <c r="F60" i="7"/>
  <c r="AE59" i="7"/>
  <c r="AD59" i="7"/>
  <c r="F59" i="7" s="1"/>
  <c r="F56" i="7" s="1"/>
  <c r="S59" i="7"/>
  <c r="G59" i="7"/>
  <c r="G58" i="7"/>
  <c r="F58" i="7"/>
  <c r="W57" i="7"/>
  <c r="O57" i="7"/>
  <c r="G57" i="7"/>
  <c r="F57" i="7"/>
  <c r="BE56" i="7"/>
  <c r="BD56" i="7"/>
  <c r="BC56" i="7"/>
  <c r="BB56" i="7"/>
  <c r="BA56" i="7"/>
  <c r="AZ56" i="7"/>
  <c r="AY56" i="7"/>
  <c r="AX56" i="7"/>
  <c r="AW56" i="7"/>
  <c r="AV56" i="7"/>
  <c r="AU56" i="7"/>
  <c r="AT56" i="7"/>
  <c r="AS56" i="7"/>
  <c r="AR56" i="7"/>
  <c r="AQ56" i="7"/>
  <c r="AP56" i="7"/>
  <c r="AO56" i="7"/>
  <c r="AN56" i="7"/>
  <c r="AM56" i="7"/>
  <c r="AL56" i="7"/>
  <c r="AK56" i="7"/>
  <c r="AJ56" i="7"/>
  <c r="AI56" i="7"/>
  <c r="AH56" i="7"/>
  <c r="AG56" i="7"/>
  <c r="AF56" i="7"/>
  <c r="AE56" i="7"/>
  <c r="AD56" i="7"/>
  <c r="AC56" i="7"/>
  <c r="AB56" i="7"/>
  <c r="AA56" i="7"/>
  <c r="Z56" i="7"/>
  <c r="Y56" i="7"/>
  <c r="X56" i="7"/>
  <c r="W56" i="7"/>
  <c r="V56" i="7"/>
  <c r="U56" i="7"/>
  <c r="T56" i="7"/>
  <c r="S56" i="7"/>
  <c r="R56" i="7"/>
  <c r="Q56" i="7"/>
  <c r="P56" i="7"/>
  <c r="O56" i="7"/>
  <c r="N56" i="7"/>
  <c r="M56" i="7"/>
  <c r="L56" i="7"/>
  <c r="K56" i="7"/>
  <c r="J56" i="7"/>
  <c r="I56" i="7"/>
  <c r="H56" i="7"/>
  <c r="G56" i="7"/>
  <c r="E56" i="7"/>
  <c r="W55" i="7"/>
  <c r="V55" i="7"/>
  <c r="G55" i="7"/>
  <c r="F55" i="7"/>
  <c r="G54" i="7"/>
  <c r="F54" i="7"/>
  <c r="AM53" i="7"/>
  <c r="AI53" i="7"/>
  <c r="AH53" i="7"/>
  <c r="AE53" i="7"/>
  <c r="AD53" i="7"/>
  <c r="AA53" i="7"/>
  <c r="Z53" i="7"/>
  <c r="W53" i="7"/>
  <c r="V53" i="7"/>
  <c r="S53" i="7"/>
  <c r="O53" i="7"/>
  <c r="G53" i="7"/>
  <c r="F53" i="7"/>
  <c r="AI52" i="7"/>
  <c r="AH52" i="7"/>
  <c r="AE52" i="7"/>
  <c r="AD52" i="7"/>
  <c r="AA52" i="7"/>
  <c r="Z52" i="7"/>
  <c r="W52" i="7"/>
  <c r="V52" i="7"/>
  <c r="S52" i="7"/>
  <c r="O52" i="7"/>
  <c r="G52" i="7"/>
  <c r="F52" i="7"/>
  <c r="G51" i="7"/>
  <c r="F51" i="7"/>
  <c r="R50" i="7"/>
  <c r="G50" i="7"/>
  <c r="F50" i="7"/>
  <c r="G49" i="7"/>
  <c r="F49" i="7"/>
  <c r="BE48" i="7"/>
  <c r="BD48" i="7"/>
  <c r="BC48" i="7"/>
  <c r="BB48" i="7"/>
  <c r="BA48" i="7"/>
  <c r="AZ48" i="7"/>
  <c r="AY48" i="7"/>
  <c r="AX48" i="7"/>
  <c r="AW48" i="7"/>
  <c r="AV48" i="7"/>
  <c r="AU48" i="7"/>
  <c r="AT48" i="7"/>
  <c r="AS48" i="7"/>
  <c r="AR48" i="7"/>
  <c r="AQ48" i="7"/>
  <c r="AP48" i="7"/>
  <c r="AO48" i="7"/>
  <c r="AN48" i="7"/>
  <c r="AM48" i="7"/>
  <c r="AL48" i="7"/>
  <c r="AK48" i="7"/>
  <c r="AJ48" i="7"/>
  <c r="AI48" i="7"/>
  <c r="AH48" i="7"/>
  <c r="AG48" i="7"/>
  <c r="AF48" i="7"/>
  <c r="AE48" i="7"/>
  <c r="AD48" i="7"/>
  <c r="AC48" i="7"/>
  <c r="AB48" i="7"/>
  <c r="AA48" i="7"/>
  <c r="Z48" i="7"/>
  <c r="Y48" i="7"/>
  <c r="X48" i="7"/>
  <c r="W48" i="7"/>
  <c r="V48" i="7"/>
  <c r="U48" i="7"/>
  <c r="T48" i="7"/>
  <c r="S48" i="7"/>
  <c r="R48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G47" i="7"/>
  <c r="F47" i="7"/>
  <c r="BE46" i="7"/>
  <c r="BD46" i="7"/>
  <c r="BC46" i="7"/>
  <c r="BB46" i="7"/>
  <c r="BA46" i="7"/>
  <c r="AZ46" i="7"/>
  <c r="AY46" i="7"/>
  <c r="AX46" i="7"/>
  <c r="AW46" i="7"/>
  <c r="AV46" i="7"/>
  <c r="AU46" i="7"/>
  <c r="AT46" i="7"/>
  <c r="AS46" i="7"/>
  <c r="AR46" i="7"/>
  <c r="AQ46" i="7"/>
  <c r="AP46" i="7"/>
  <c r="AO46" i="7"/>
  <c r="AN46" i="7"/>
  <c r="AM46" i="7"/>
  <c r="AL46" i="7"/>
  <c r="AK46" i="7"/>
  <c r="AJ46" i="7"/>
  <c r="AI46" i="7"/>
  <c r="AH46" i="7"/>
  <c r="AG46" i="7"/>
  <c r="AF46" i="7"/>
  <c r="AE46" i="7"/>
  <c r="AD46" i="7"/>
  <c r="AC46" i="7"/>
  <c r="AB46" i="7"/>
  <c r="AA46" i="7"/>
  <c r="Z46" i="7"/>
  <c r="Y46" i="7"/>
  <c r="X46" i="7"/>
  <c r="W46" i="7"/>
  <c r="V46" i="7"/>
  <c r="U46" i="7"/>
  <c r="T46" i="7"/>
  <c r="S46" i="7"/>
  <c r="R46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W45" i="7"/>
  <c r="V45" i="7"/>
  <c r="G45" i="7"/>
  <c r="F45" i="7"/>
  <c r="G44" i="7"/>
  <c r="F44" i="7"/>
  <c r="AI43" i="7"/>
  <c r="AH43" i="7"/>
  <c r="AE43" i="7"/>
  <c r="AD43" i="7"/>
  <c r="AA43" i="7"/>
  <c r="Z43" i="7"/>
  <c r="W43" i="7"/>
  <c r="V43" i="7"/>
  <c r="S43" i="7"/>
  <c r="O43" i="7"/>
  <c r="G43" i="7" s="1"/>
  <c r="G40" i="7" s="1"/>
  <c r="F43" i="7"/>
  <c r="G42" i="7"/>
  <c r="F42" i="7"/>
  <c r="G41" i="7"/>
  <c r="F41" i="7"/>
  <c r="BE40" i="7"/>
  <c r="BD40" i="7"/>
  <c r="BC40" i="7"/>
  <c r="BB40" i="7"/>
  <c r="BA40" i="7"/>
  <c r="AZ40" i="7"/>
  <c r="AY40" i="7"/>
  <c r="AX40" i="7"/>
  <c r="AW40" i="7"/>
  <c r="AV40" i="7"/>
  <c r="AU40" i="7"/>
  <c r="AT40" i="7"/>
  <c r="AS40" i="7"/>
  <c r="AR40" i="7"/>
  <c r="AQ40" i="7"/>
  <c r="AP40" i="7"/>
  <c r="AO40" i="7"/>
  <c r="AN40" i="7"/>
  <c r="AM40" i="7"/>
  <c r="AL40" i="7"/>
  <c r="AK40" i="7"/>
  <c r="AJ40" i="7"/>
  <c r="AI40" i="7"/>
  <c r="AH40" i="7"/>
  <c r="AG40" i="7"/>
  <c r="AF40" i="7"/>
  <c r="AE40" i="7"/>
  <c r="AD40" i="7"/>
  <c r="AC40" i="7"/>
  <c r="AB40" i="7"/>
  <c r="AA40" i="7"/>
  <c r="Z40" i="7"/>
  <c r="Y40" i="7"/>
  <c r="X40" i="7"/>
  <c r="W40" i="7"/>
  <c r="V40" i="7"/>
  <c r="U40" i="7"/>
  <c r="T40" i="7"/>
  <c r="S40" i="7"/>
  <c r="R40" i="7"/>
  <c r="Q40" i="7"/>
  <c r="P40" i="7"/>
  <c r="O40" i="7"/>
  <c r="N40" i="7"/>
  <c r="M40" i="7"/>
  <c r="L40" i="7"/>
  <c r="K40" i="7"/>
  <c r="J40" i="7"/>
  <c r="I40" i="7"/>
  <c r="H40" i="7"/>
  <c r="F40" i="7"/>
  <c r="E40" i="7"/>
  <c r="G39" i="7"/>
  <c r="F39" i="7"/>
  <c r="G38" i="7"/>
  <c r="F38" i="7"/>
  <c r="G37" i="7"/>
  <c r="F37" i="7"/>
  <c r="G36" i="7"/>
  <c r="F36" i="7"/>
  <c r="G35" i="7"/>
  <c r="F35" i="7"/>
  <c r="G34" i="7"/>
  <c r="F34" i="7"/>
  <c r="G33" i="7"/>
  <c r="F33" i="7"/>
  <c r="BE32" i="7"/>
  <c r="BD32" i="7"/>
  <c r="BC32" i="7"/>
  <c r="BB32" i="7"/>
  <c r="BA32" i="7"/>
  <c r="AZ32" i="7"/>
  <c r="AY32" i="7"/>
  <c r="AX32" i="7"/>
  <c r="AW32" i="7"/>
  <c r="AV32" i="7"/>
  <c r="AU32" i="7"/>
  <c r="AT32" i="7"/>
  <c r="AS32" i="7"/>
  <c r="AR32" i="7"/>
  <c r="AQ32" i="7"/>
  <c r="AP32" i="7"/>
  <c r="AO32" i="7"/>
  <c r="AN32" i="7"/>
  <c r="AM32" i="7"/>
  <c r="AL32" i="7"/>
  <c r="AK32" i="7"/>
  <c r="AJ32" i="7"/>
  <c r="AI32" i="7"/>
  <c r="AH32" i="7"/>
  <c r="AG32" i="7"/>
  <c r="AF32" i="7"/>
  <c r="AE32" i="7"/>
  <c r="AD32" i="7"/>
  <c r="AC32" i="7"/>
  <c r="AB32" i="7"/>
  <c r="AA32" i="7"/>
  <c r="Z32" i="7"/>
  <c r="Y32" i="7"/>
  <c r="X32" i="7"/>
  <c r="W32" i="7"/>
  <c r="V32" i="7"/>
  <c r="U32" i="7"/>
  <c r="T32" i="7"/>
  <c r="S32" i="7"/>
  <c r="R32" i="7"/>
  <c r="Q32" i="7"/>
  <c r="P32" i="7"/>
  <c r="O32" i="7"/>
  <c r="N32" i="7"/>
  <c r="M32" i="7"/>
  <c r="L32" i="7"/>
  <c r="K32" i="7"/>
  <c r="J32" i="7"/>
  <c r="I32" i="7"/>
  <c r="H32" i="7"/>
  <c r="G32" i="7"/>
  <c r="F32" i="7"/>
  <c r="E32" i="7"/>
  <c r="AI31" i="7"/>
  <c r="AH31" i="7"/>
  <c r="AE31" i="7"/>
  <c r="AD31" i="7"/>
  <c r="AA31" i="7"/>
  <c r="Z31" i="7"/>
  <c r="W31" i="7"/>
  <c r="V31" i="7"/>
  <c r="S31" i="7"/>
  <c r="O31" i="7"/>
  <c r="G31" i="7" s="1"/>
  <c r="G28" i="7" s="1"/>
  <c r="F31" i="7"/>
  <c r="AI30" i="7"/>
  <c r="AH30" i="7"/>
  <c r="W30" i="7"/>
  <c r="V30" i="7"/>
  <c r="G30" i="7"/>
  <c r="F30" i="7"/>
  <c r="AI29" i="7"/>
  <c r="I29" i="7"/>
  <c r="H29" i="7"/>
  <c r="G29" i="7"/>
  <c r="F29" i="7"/>
  <c r="BE28" i="7"/>
  <c r="BD28" i="7"/>
  <c r="BC28" i="7"/>
  <c r="BB28" i="7"/>
  <c r="BA28" i="7"/>
  <c r="AZ28" i="7"/>
  <c r="AY28" i="7"/>
  <c r="AX28" i="7"/>
  <c r="AW28" i="7"/>
  <c r="AV28" i="7"/>
  <c r="AU28" i="7"/>
  <c r="AT28" i="7"/>
  <c r="AS28" i="7"/>
  <c r="AR28" i="7"/>
  <c r="AQ28" i="7"/>
  <c r="AP28" i="7"/>
  <c r="AO28" i="7"/>
  <c r="AN28" i="7"/>
  <c r="AM28" i="7"/>
  <c r="AL28" i="7"/>
  <c r="AK28" i="7"/>
  <c r="AJ28" i="7"/>
  <c r="AI28" i="7"/>
  <c r="AH28" i="7"/>
  <c r="AG28" i="7"/>
  <c r="AF28" i="7"/>
  <c r="AE28" i="7"/>
  <c r="AD28" i="7"/>
  <c r="AC28" i="7"/>
  <c r="AB28" i="7"/>
  <c r="AA28" i="7"/>
  <c r="Z28" i="7"/>
  <c r="Y28" i="7"/>
  <c r="X28" i="7"/>
  <c r="W28" i="7"/>
  <c r="V28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F28" i="7"/>
  <c r="E28" i="7"/>
  <c r="G27" i="7"/>
  <c r="F27" i="7"/>
  <c r="G26" i="7"/>
  <c r="F26" i="7"/>
  <c r="W25" i="7"/>
  <c r="V25" i="7"/>
  <c r="G25" i="7"/>
  <c r="F25" i="7"/>
  <c r="W24" i="7"/>
  <c r="V24" i="7"/>
  <c r="G24" i="7"/>
  <c r="F24" i="7"/>
  <c r="G23" i="7"/>
  <c r="F23" i="7"/>
  <c r="G22" i="7"/>
  <c r="F22" i="7"/>
  <c r="BE21" i="7"/>
  <c r="BD21" i="7"/>
  <c r="BC21" i="7"/>
  <c r="BB21" i="7"/>
  <c r="BA21" i="7"/>
  <c r="AZ21" i="7"/>
  <c r="AY21" i="7"/>
  <c r="AX21" i="7"/>
  <c r="AW21" i="7"/>
  <c r="AV21" i="7"/>
  <c r="AU21" i="7"/>
  <c r="AT21" i="7"/>
  <c r="AS21" i="7"/>
  <c r="AR21" i="7"/>
  <c r="AQ21" i="7"/>
  <c r="AP21" i="7"/>
  <c r="AO21" i="7"/>
  <c r="AN21" i="7"/>
  <c r="AM21" i="7"/>
  <c r="AL21" i="7"/>
  <c r="AK21" i="7"/>
  <c r="AJ21" i="7"/>
  <c r="AI21" i="7"/>
  <c r="AH21" i="7"/>
  <c r="AG21" i="7"/>
  <c r="AF21" i="7"/>
  <c r="AE21" i="7"/>
  <c r="AD21" i="7"/>
  <c r="AC21" i="7"/>
  <c r="AB21" i="7"/>
  <c r="AA21" i="7"/>
  <c r="Z21" i="7"/>
  <c r="Y21" i="7"/>
  <c r="X21" i="7"/>
  <c r="W21" i="7"/>
  <c r="V21" i="7"/>
  <c r="U21" i="7"/>
  <c r="T21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G20" i="7"/>
  <c r="F20" i="7"/>
  <c r="W19" i="7"/>
  <c r="V19" i="7"/>
  <c r="G19" i="7"/>
  <c r="F19" i="7"/>
  <c r="AI18" i="7"/>
  <c r="AH18" i="7"/>
  <c r="AE18" i="7"/>
  <c r="AD18" i="7"/>
  <c r="AA18" i="7"/>
  <c r="Z18" i="7"/>
  <c r="W18" i="7"/>
  <c r="O18" i="7"/>
  <c r="G18" i="7"/>
  <c r="F18" i="7"/>
  <c r="G17" i="7"/>
  <c r="F17" i="7"/>
  <c r="G16" i="7"/>
  <c r="F16" i="7"/>
  <c r="AI15" i="7"/>
  <c r="AE15" i="7"/>
  <c r="AA15" i="7"/>
  <c r="W15" i="7"/>
  <c r="S15" i="7"/>
  <c r="O15" i="7"/>
  <c r="K15" i="7"/>
  <c r="G15" i="7" s="1"/>
  <c r="G13" i="7" s="1"/>
  <c r="I15" i="7"/>
  <c r="H15" i="7"/>
  <c r="F15" i="7"/>
  <c r="S14" i="7"/>
  <c r="G14" i="7"/>
  <c r="F14" i="7"/>
  <c r="BE13" i="7"/>
  <c r="BD13" i="7"/>
  <c r="BC13" i="7"/>
  <c r="BB13" i="7"/>
  <c r="BA13" i="7"/>
  <c r="AZ13" i="7"/>
  <c r="AY13" i="7"/>
  <c r="AX13" i="7"/>
  <c r="AW13" i="7"/>
  <c r="AV13" i="7"/>
  <c r="AU13" i="7"/>
  <c r="AT13" i="7"/>
  <c r="AS13" i="7"/>
  <c r="AR13" i="7"/>
  <c r="AQ13" i="7"/>
  <c r="AP13" i="7"/>
  <c r="AO13" i="7"/>
  <c r="AN13" i="7"/>
  <c r="AM13" i="7"/>
  <c r="AL13" i="7"/>
  <c r="AK13" i="7"/>
  <c r="AJ13" i="7"/>
  <c r="AI13" i="7"/>
  <c r="AH13" i="7"/>
  <c r="AG13" i="7"/>
  <c r="AF13" i="7"/>
  <c r="AE13" i="7"/>
  <c r="AD13" i="7"/>
  <c r="AC13" i="7"/>
  <c r="AB13" i="7"/>
  <c r="AA13" i="7"/>
  <c r="Z13" i="7"/>
  <c r="Y13" i="7"/>
  <c r="X13" i="7"/>
  <c r="W13" i="7"/>
  <c r="V13" i="7"/>
  <c r="U13" i="7"/>
  <c r="T13" i="7"/>
  <c r="S13" i="7"/>
  <c r="R13" i="7"/>
  <c r="Q13" i="7"/>
  <c r="P13" i="7"/>
  <c r="O13" i="7"/>
  <c r="N13" i="7"/>
  <c r="M13" i="7"/>
  <c r="L13" i="7"/>
  <c r="K13" i="7"/>
  <c r="J13" i="7"/>
  <c r="I13" i="7"/>
  <c r="H13" i="7"/>
  <c r="F13" i="7"/>
  <c r="E13" i="7"/>
  <c r="AH12" i="7"/>
  <c r="AH10" i="7" s="1"/>
  <c r="I12" i="7"/>
  <c r="H12" i="7"/>
  <c r="G12" i="7"/>
  <c r="F12" i="7"/>
  <c r="F10" i="7" s="1"/>
  <c r="O11" i="7"/>
  <c r="G11" i="7"/>
  <c r="F11" i="7"/>
  <c r="BE10" i="7"/>
  <c r="BD10" i="7"/>
  <c r="BC10" i="7"/>
  <c r="BB10" i="7"/>
  <c r="BA10" i="7"/>
  <c r="AZ10" i="7"/>
  <c r="AY10" i="7"/>
  <c r="AX10" i="7"/>
  <c r="AW10" i="7"/>
  <c r="AV10" i="7"/>
  <c r="AU10" i="7"/>
  <c r="AT10" i="7"/>
  <c r="AS10" i="7"/>
  <c r="AR10" i="7"/>
  <c r="AQ10" i="7"/>
  <c r="AP10" i="7"/>
  <c r="AO10" i="7"/>
  <c r="AN10" i="7"/>
  <c r="AM10" i="7"/>
  <c r="AL10" i="7"/>
  <c r="AK10" i="7"/>
  <c r="AJ10" i="7"/>
  <c r="AI10" i="7"/>
  <c r="AG10" i="7"/>
  <c r="AF10" i="7"/>
  <c r="AE10" i="7"/>
  <c r="AD10" i="7"/>
  <c r="AC10" i="7"/>
  <c r="AB10" i="7"/>
  <c r="AA10" i="7"/>
  <c r="Z10" i="7"/>
  <c r="Y10" i="7"/>
  <c r="X10" i="7"/>
  <c r="W10" i="7"/>
  <c r="V10" i="7"/>
  <c r="U10" i="7"/>
  <c r="T10" i="7"/>
  <c r="S10" i="7"/>
  <c r="R10" i="7"/>
  <c r="Q10" i="7"/>
  <c r="P10" i="7"/>
  <c r="O10" i="7"/>
  <c r="N10" i="7"/>
  <c r="M10" i="7"/>
  <c r="L10" i="7"/>
  <c r="K10" i="7"/>
  <c r="J10" i="7"/>
  <c r="I10" i="7"/>
  <c r="H10" i="7"/>
  <c r="G10" i="7"/>
  <c r="E10" i="7"/>
  <c r="I9" i="7"/>
  <c r="H9" i="7"/>
  <c r="G9" i="7"/>
  <c r="F9" i="7"/>
  <c r="G8" i="7"/>
  <c r="F8" i="7"/>
  <c r="G7" i="7"/>
  <c r="F7" i="7"/>
  <c r="BE6" i="7"/>
  <c r="BD6" i="7"/>
  <c r="BC6" i="7"/>
  <c r="BB6" i="7"/>
  <c r="BA6" i="7"/>
  <c r="AZ6" i="7"/>
  <c r="AY6" i="7"/>
  <c r="AX6" i="7"/>
  <c r="AW6" i="7"/>
  <c r="AV6" i="7"/>
  <c r="AU6" i="7"/>
  <c r="AT6" i="7"/>
  <c r="AS6" i="7"/>
  <c r="AR6" i="7"/>
  <c r="AQ6" i="7"/>
  <c r="AP6" i="7"/>
  <c r="AO6" i="7"/>
  <c r="AN6" i="7"/>
  <c r="AM6" i="7"/>
  <c r="AL6" i="7"/>
  <c r="AK6" i="7"/>
  <c r="AJ6" i="7"/>
  <c r="AI6" i="7"/>
  <c r="AH6" i="7"/>
  <c r="AG6" i="7"/>
  <c r="AF6" i="7"/>
  <c r="AE6" i="7"/>
  <c r="AD6" i="7"/>
  <c r="AC6" i="7"/>
  <c r="AB6" i="7"/>
  <c r="AA6" i="7"/>
  <c r="Z6" i="7"/>
  <c r="Y6" i="7"/>
  <c r="X6" i="7"/>
  <c r="W6" i="7"/>
  <c r="V6" i="7"/>
  <c r="U6" i="7"/>
  <c r="T6" i="7"/>
  <c r="S6" i="7"/>
  <c r="R6" i="7"/>
  <c r="Q6" i="7"/>
  <c r="P6" i="7"/>
  <c r="O6" i="7"/>
  <c r="N6" i="7"/>
  <c r="M6" i="7"/>
  <c r="L6" i="7"/>
  <c r="K6" i="7"/>
  <c r="J6" i="7"/>
  <c r="I6" i="7"/>
  <c r="H6" i="7"/>
  <c r="G6" i="7"/>
  <c r="F6" i="7"/>
  <c r="E6" i="7"/>
  <c r="I5" i="7"/>
  <c r="H5" i="7"/>
  <c r="G5" i="7"/>
  <c r="F5" i="7"/>
  <c r="BE4" i="7"/>
  <c r="BE92" i="7" s="1"/>
  <c r="BD4" i="7"/>
  <c r="BD92" i="7" s="1"/>
  <c r="BC4" i="7"/>
  <c r="BC92" i="7" s="1"/>
  <c r="BB4" i="7"/>
  <c r="BB92" i="7" s="1"/>
  <c r="BA4" i="7"/>
  <c r="BA92" i="7" s="1"/>
  <c r="AZ4" i="7"/>
  <c r="AZ92" i="7" s="1"/>
  <c r="AY4" i="7"/>
  <c r="AY92" i="7" s="1"/>
  <c r="AX4" i="7"/>
  <c r="AX92" i="7" s="1"/>
  <c r="AW4" i="7"/>
  <c r="AW92" i="7" s="1"/>
  <c r="AV4" i="7"/>
  <c r="AV92" i="7" s="1"/>
  <c r="AU4" i="7"/>
  <c r="AU92" i="7" s="1"/>
  <c r="AT4" i="7"/>
  <c r="AT92" i="7" s="1"/>
  <c r="AS4" i="7"/>
  <c r="AS92" i="7" s="1"/>
  <c r="AR4" i="7"/>
  <c r="AR92" i="7" s="1"/>
  <c r="AQ4" i="7"/>
  <c r="AQ92" i="7" s="1"/>
  <c r="AP4" i="7"/>
  <c r="AP92" i="7" s="1"/>
  <c r="AO4" i="7"/>
  <c r="AO92" i="7" s="1"/>
  <c r="AN4" i="7"/>
  <c r="AN92" i="7" s="1"/>
  <c r="AM4" i="7"/>
  <c r="AM92" i="7" s="1"/>
  <c r="AL4" i="7"/>
  <c r="AL92" i="7" s="1"/>
  <c r="AK4" i="7"/>
  <c r="AK92" i="7" s="1"/>
  <c r="AJ4" i="7"/>
  <c r="AJ92" i="7" s="1"/>
  <c r="AI4" i="7"/>
  <c r="AI92" i="7" s="1"/>
  <c r="AH4" i="7"/>
  <c r="AG4" i="7"/>
  <c r="AG92" i="7" s="1"/>
  <c r="AF4" i="7"/>
  <c r="AF92" i="7" s="1"/>
  <c r="AE4" i="7"/>
  <c r="AE92" i="7" s="1"/>
  <c r="AD4" i="7"/>
  <c r="AD92" i="7" s="1"/>
  <c r="AC4" i="7"/>
  <c r="AC92" i="7" s="1"/>
  <c r="AB4" i="7"/>
  <c r="AB92" i="7" s="1"/>
  <c r="AA4" i="7"/>
  <c r="AA92" i="7" s="1"/>
  <c r="Z4" i="7"/>
  <c r="Z92" i="7" s="1"/>
  <c r="Y4" i="7"/>
  <c r="Y92" i="7" s="1"/>
  <c r="X4" i="7"/>
  <c r="X92" i="7" s="1"/>
  <c r="W4" i="7"/>
  <c r="W92" i="7" s="1"/>
  <c r="V4" i="7"/>
  <c r="V92" i="7" s="1"/>
  <c r="U4" i="7"/>
  <c r="U92" i="7" s="1"/>
  <c r="T4" i="7"/>
  <c r="T92" i="7" s="1"/>
  <c r="S4" i="7"/>
  <c r="S92" i="7" s="1"/>
  <c r="R4" i="7"/>
  <c r="R92" i="7" s="1"/>
  <c r="Q4" i="7"/>
  <c r="Q92" i="7" s="1"/>
  <c r="P4" i="7"/>
  <c r="P92" i="7" s="1"/>
  <c r="O4" i="7"/>
  <c r="O92" i="7" s="1"/>
  <c r="N4" i="7"/>
  <c r="N92" i="7" s="1"/>
  <c r="M4" i="7"/>
  <c r="M92" i="7" s="1"/>
  <c r="L4" i="7"/>
  <c r="L92" i="7" s="1"/>
  <c r="K4" i="7"/>
  <c r="K92" i="7" s="1"/>
  <c r="J4" i="7"/>
  <c r="J92" i="7" s="1"/>
  <c r="I4" i="7"/>
  <c r="I92" i="7" s="1"/>
  <c r="H4" i="7"/>
  <c r="H92" i="7" s="1"/>
  <c r="G4" i="7"/>
  <c r="G92" i="7" s="1"/>
  <c r="F4" i="7"/>
  <c r="E4" i="7"/>
  <c r="E92" i="7" s="1"/>
  <c r="F92" i="7" l="1"/>
  <c r="AH92" i="7"/>
  <c r="D61" i="6"/>
  <c r="D60" i="6" s="1"/>
  <c r="D59" i="6" s="1"/>
  <c r="J39" i="6"/>
  <c r="J38" i="6" s="1"/>
  <c r="I38" i="6"/>
  <c r="H38" i="6"/>
  <c r="F38" i="6"/>
  <c r="E38" i="6"/>
  <c r="G38" i="6" s="1"/>
  <c r="D38" i="6"/>
  <c r="J37" i="6"/>
  <c r="J36" i="6" s="1"/>
  <c r="I36" i="6"/>
  <c r="I40" i="6" s="1"/>
  <c r="H36" i="6"/>
  <c r="H40" i="6" s="1"/>
  <c r="F36" i="6"/>
  <c r="F40" i="6" s="1"/>
  <c r="E36" i="6"/>
  <c r="E40" i="6" s="1"/>
  <c r="G40" i="6" s="1"/>
  <c r="D36" i="6"/>
  <c r="D40" i="6" s="1"/>
  <c r="J35" i="6"/>
  <c r="J34" i="6"/>
  <c r="J33" i="6"/>
  <c r="I33" i="6"/>
  <c r="H33" i="6"/>
  <c r="F33" i="6"/>
  <c r="E33" i="6"/>
  <c r="G33" i="6" s="1"/>
  <c r="D33" i="6"/>
  <c r="J32" i="6"/>
  <c r="J31" i="6" s="1"/>
  <c r="I31" i="6"/>
  <c r="H31" i="6"/>
  <c r="F31" i="6"/>
  <c r="E31" i="6"/>
  <c r="G31" i="6" s="1"/>
  <c r="D31" i="6"/>
  <c r="J30" i="6"/>
  <c r="J29" i="6" s="1"/>
  <c r="I29" i="6"/>
  <c r="H29" i="6"/>
  <c r="F29" i="6"/>
  <c r="E29" i="6"/>
  <c r="G29" i="6" s="1"/>
  <c r="D29" i="6"/>
  <c r="J28" i="6"/>
  <c r="J27" i="6"/>
  <c r="J26" i="6"/>
  <c r="I26" i="6"/>
  <c r="H26" i="6"/>
  <c r="F26" i="6"/>
  <c r="E26" i="6"/>
  <c r="G26" i="6" s="1"/>
  <c r="D26" i="6"/>
  <c r="J25" i="6"/>
  <c r="J24" i="6"/>
  <c r="I24" i="6"/>
  <c r="H24" i="6"/>
  <c r="F24" i="6"/>
  <c r="E24" i="6"/>
  <c r="G24" i="6" s="1"/>
  <c r="D24" i="6"/>
  <c r="J23" i="6"/>
  <c r="G23" i="6"/>
  <c r="J22" i="6"/>
  <c r="J21" i="6" s="1"/>
  <c r="I21" i="6"/>
  <c r="H21" i="6"/>
  <c r="F21" i="6"/>
  <c r="E21" i="6"/>
  <c r="G21" i="6" s="1"/>
  <c r="D21" i="6"/>
  <c r="J20" i="6"/>
  <c r="J19" i="6" s="1"/>
  <c r="I19" i="6"/>
  <c r="H19" i="6"/>
  <c r="F19" i="6"/>
  <c r="E19" i="6"/>
  <c r="G19" i="6" s="1"/>
  <c r="D19" i="6"/>
  <c r="J18" i="6"/>
  <c r="H17" i="6"/>
  <c r="E17" i="6"/>
  <c r="J17" i="6" s="1"/>
  <c r="J16" i="6" s="1"/>
  <c r="I16" i="6"/>
  <c r="H16" i="6"/>
  <c r="F16" i="6"/>
  <c r="E16" i="6"/>
  <c r="G16" i="6" s="1"/>
  <c r="D16" i="6"/>
  <c r="J15" i="6"/>
  <c r="J14" i="6"/>
  <c r="I14" i="6"/>
  <c r="H14" i="6"/>
  <c r="F14" i="6"/>
  <c r="E14" i="6"/>
  <c r="G14" i="6" s="1"/>
  <c r="D14" i="6"/>
  <c r="J13" i="6"/>
  <c r="J12" i="6"/>
  <c r="J11" i="6"/>
  <c r="J10" i="6"/>
  <c r="J9" i="6"/>
  <c r="J8" i="6"/>
  <c r="J7" i="6"/>
  <c r="J6" i="6" s="1"/>
  <c r="J5" i="6" s="1"/>
  <c r="I6" i="6"/>
  <c r="H6" i="6"/>
  <c r="F6" i="6"/>
  <c r="E6" i="6"/>
  <c r="D6" i="6"/>
  <c r="I5" i="6"/>
  <c r="H5" i="6"/>
  <c r="F5" i="6"/>
  <c r="E5" i="6"/>
  <c r="D5" i="6"/>
  <c r="J40" i="6" l="1"/>
  <c r="G36" i="6"/>
  <c r="N141" i="4" l="1"/>
  <c r="I141" i="4"/>
  <c r="I80" i="4"/>
  <c r="H56" i="4"/>
  <c r="L128" i="4" l="1"/>
  <c r="L115" i="4"/>
  <c r="L110" i="4"/>
  <c r="L99" i="4"/>
  <c r="L84" i="4"/>
  <c r="L111" i="4" l="1"/>
  <c r="L103" i="4"/>
  <c r="L100" i="4"/>
  <c r="L94" i="4"/>
  <c r="L86" i="4"/>
  <c r="L67" i="4"/>
  <c r="L46" i="4"/>
  <c r="L32" i="4"/>
  <c r="M30" i="4"/>
  <c r="M26" i="4"/>
  <c r="M20" i="4"/>
  <c r="M15" i="4"/>
  <c r="M10" i="4"/>
  <c r="L129" i="4" l="1"/>
  <c r="L141" i="4"/>
  <c r="L146" i="4"/>
  <c r="J146" i="4" l="1"/>
  <c r="J141" i="4"/>
  <c r="J136" i="4"/>
  <c r="J129" i="4"/>
  <c r="J111" i="4"/>
  <c r="J103" i="4"/>
  <c r="J100" i="4"/>
  <c r="J94" i="4"/>
  <c r="J86" i="4"/>
  <c r="J67" i="4"/>
  <c r="N80" i="4"/>
  <c r="E80" i="4"/>
  <c r="J46" i="4"/>
  <c r="J32" i="4"/>
  <c r="F63" i="4" l="1"/>
  <c r="F146" i="4" l="1"/>
  <c r="I146" i="4" s="1"/>
  <c r="N146" i="4" s="1"/>
  <c r="F136" i="4"/>
  <c r="I136" i="4" s="1"/>
  <c r="N136" i="4" s="1"/>
  <c r="F129" i="4"/>
  <c r="I129" i="4" s="1"/>
  <c r="N129" i="4" s="1"/>
  <c r="F116" i="4"/>
  <c r="I116" i="4" s="1"/>
  <c r="N116" i="4" s="1"/>
  <c r="F111" i="4"/>
  <c r="I111" i="4" s="1"/>
  <c r="N111" i="4" s="1"/>
  <c r="F103" i="4"/>
  <c r="I103" i="4" s="1"/>
  <c r="N103" i="4" s="1"/>
  <c r="F100" i="4"/>
  <c r="I100" i="4" s="1"/>
  <c r="N100" i="4" s="1"/>
  <c r="F94" i="4"/>
  <c r="I94" i="4" s="1"/>
  <c r="N94" i="4" s="1"/>
  <c r="F86" i="4"/>
  <c r="I86" i="4" s="1"/>
  <c r="N86" i="4" s="1"/>
  <c r="F74" i="4"/>
  <c r="I74" i="4" s="1"/>
  <c r="N74" i="4" s="1"/>
  <c r="F67" i="4"/>
  <c r="I67" i="4" s="1"/>
  <c r="N67" i="4" s="1"/>
  <c r="F56" i="4"/>
  <c r="I56" i="4" s="1"/>
  <c r="N56" i="4" s="1"/>
  <c r="F46" i="4"/>
  <c r="I46" i="4" s="1"/>
  <c r="N46" i="4" s="1"/>
  <c r="F32" i="4"/>
  <c r="I32" i="4" s="1"/>
  <c r="N32" i="4" s="1"/>
  <c r="F31" i="4"/>
  <c r="I31" i="4" s="1"/>
  <c r="N31" i="4" s="1"/>
  <c r="F30" i="4"/>
  <c r="I30" i="4" s="1"/>
  <c r="N30" i="4" s="1"/>
  <c r="F26" i="4"/>
  <c r="I26" i="4" s="1"/>
  <c r="N26" i="4" s="1"/>
  <c r="F20" i="4"/>
  <c r="I20" i="4" s="1"/>
  <c r="N20" i="4" s="1"/>
  <c r="F15" i="4"/>
  <c r="I15" i="4" s="1"/>
  <c r="N15" i="4" s="1"/>
  <c r="F10" i="4"/>
  <c r="I10" i="4" s="1"/>
  <c r="N10" i="4" s="1"/>
  <c r="M43" i="8"/>
  <c r="M42" i="8"/>
  <c r="M41" i="8"/>
  <c r="M40" i="8"/>
  <c r="M39" i="8"/>
  <c r="M38" i="8"/>
  <c r="M37" i="8"/>
  <c r="D37" i="8"/>
  <c r="M36" i="8"/>
  <c r="M35" i="8"/>
  <c r="M34" i="8"/>
  <c r="M33" i="8"/>
  <c r="M32" i="8"/>
  <c r="M31" i="8"/>
  <c r="M30" i="8"/>
  <c r="M29" i="8"/>
  <c r="M28" i="8"/>
  <c r="D28" i="8"/>
  <c r="M27" i="8"/>
  <c r="M26" i="8"/>
  <c r="M25" i="8"/>
  <c r="M24" i="8"/>
  <c r="M23" i="8"/>
  <c r="D23" i="8"/>
  <c r="M22" i="8"/>
  <c r="M21" i="8"/>
  <c r="M20" i="8"/>
  <c r="M19" i="8" s="1"/>
  <c r="D19" i="8"/>
  <c r="M18" i="8"/>
  <c r="M17" i="8"/>
  <c r="M16" i="8"/>
  <c r="M15" i="8" s="1"/>
  <c r="D15" i="8"/>
  <c r="M14" i="8"/>
  <c r="M13" i="8"/>
  <c r="M12" i="8"/>
  <c r="M11" i="8"/>
  <c r="M10" i="8"/>
  <c r="M9" i="8"/>
  <c r="M8" i="8"/>
  <c r="D7" i="8"/>
  <c r="N151" i="4" l="1"/>
  <c r="G128" i="4"/>
  <c r="G126" i="4"/>
  <c r="G125" i="4"/>
  <c r="G124" i="4"/>
  <c r="G123" i="4"/>
  <c r="G122" i="4"/>
  <c r="G121" i="4"/>
  <c r="G120" i="4"/>
  <c r="G115" i="4"/>
  <c r="G114" i="4"/>
  <c r="G110" i="4"/>
  <c r="G108" i="4"/>
  <c r="G106" i="4"/>
  <c r="G99" i="4"/>
  <c r="G98" i="4"/>
  <c r="G97" i="4"/>
  <c r="G84" i="4"/>
  <c r="G83" i="4"/>
  <c r="G71" i="4"/>
  <c r="G70" i="4"/>
  <c r="G148" i="4"/>
  <c r="G147" i="4"/>
  <c r="G145" i="4"/>
  <c r="G144" i="4"/>
  <c r="G143" i="4"/>
  <c r="G142" i="4"/>
  <c r="G140" i="4"/>
  <c r="G139" i="4"/>
  <c r="G138" i="4"/>
  <c r="G137" i="4"/>
  <c r="G134" i="4"/>
  <c r="G133" i="4"/>
  <c r="G132" i="4"/>
  <c r="G131" i="4"/>
  <c r="G130" i="4"/>
  <c r="G119" i="4"/>
  <c r="G118" i="4"/>
  <c r="G117" i="4"/>
  <c r="G113" i="4"/>
  <c r="G112" i="4"/>
  <c r="G111" i="4" s="1"/>
  <c r="G109" i="4"/>
  <c r="G107" i="4"/>
  <c r="G105" i="4"/>
  <c r="G104" i="4"/>
  <c r="G103" i="4" s="1"/>
  <c r="G101" i="4"/>
  <c r="G100" i="4" s="1"/>
  <c r="G96" i="4"/>
  <c r="G95" i="4"/>
  <c r="G93" i="4"/>
  <c r="G92" i="4"/>
  <c r="G91" i="4"/>
  <c r="G90" i="4"/>
  <c r="G89" i="4"/>
  <c r="G88" i="4"/>
  <c r="G87" i="4"/>
  <c r="G86" i="4" s="1"/>
  <c r="G136" i="4" l="1"/>
  <c r="G141" i="4"/>
  <c r="G146" i="4"/>
  <c r="G129" i="4"/>
  <c r="G116" i="4"/>
  <c r="G94" i="4"/>
  <c r="G82" i="4"/>
  <c r="G80" i="4" s="1"/>
  <c r="G79" i="4"/>
  <c r="G78" i="4"/>
  <c r="G77" i="4"/>
  <c r="G76" i="4"/>
  <c r="G75" i="4"/>
  <c r="G73" i="4"/>
  <c r="G72" i="4"/>
  <c r="G69" i="4"/>
  <c r="G68" i="4"/>
  <c r="G62" i="4"/>
  <c r="G61" i="4"/>
  <c r="G60" i="4"/>
  <c r="G59" i="4"/>
  <c r="G58" i="4"/>
  <c r="G57" i="4"/>
  <c r="G50" i="4"/>
  <c r="G49" i="4"/>
  <c r="G48" i="4"/>
  <c r="G47" i="4"/>
  <c r="G45" i="4"/>
  <c r="G38" i="4"/>
  <c r="G37" i="4"/>
  <c r="G34" i="4"/>
  <c r="G30" i="4"/>
  <c r="G29" i="4"/>
  <c r="G28" i="4"/>
  <c r="G27" i="4"/>
  <c r="G25" i="4"/>
  <c r="G24" i="4"/>
  <c r="G23" i="4"/>
  <c r="G22" i="4"/>
  <c r="G21" i="4"/>
  <c r="G19" i="4"/>
  <c r="G18" i="4"/>
  <c r="G17" i="4"/>
  <c r="G16" i="4"/>
  <c r="G14" i="4"/>
  <c r="G13" i="4"/>
  <c r="G12" i="4"/>
  <c r="G11" i="4"/>
  <c r="G10" i="4" l="1"/>
  <c r="G26" i="4"/>
  <c r="G46" i="4"/>
  <c r="G56" i="4"/>
  <c r="G67" i="4"/>
  <c r="G74" i="4"/>
  <c r="G15" i="4"/>
  <c r="G20" i="4"/>
  <c r="G85" i="4"/>
  <c r="G36" i="4"/>
  <c r="G35" i="4"/>
  <c r="G33" i="4"/>
  <c r="G31" i="4"/>
  <c r="G32" i="4" l="1"/>
  <c r="G9" i="4" s="1"/>
  <c r="E146" i="4" l="1"/>
  <c r="E141" i="4"/>
  <c r="E136" i="4"/>
  <c r="E129" i="4"/>
  <c r="E116" i="4"/>
  <c r="E111" i="4"/>
  <c r="E103" i="4"/>
  <c r="E100" i="4"/>
  <c r="E94" i="4"/>
  <c r="E86" i="4"/>
  <c r="E74" i="4"/>
  <c r="E67" i="4"/>
  <c r="E46" i="4"/>
  <c r="E32" i="4"/>
  <c r="E26" i="4"/>
  <c r="E20" i="4"/>
  <c r="E15" i="4"/>
  <c r="E10" i="4"/>
  <c r="E85" i="4" l="1"/>
  <c r="E9" i="4"/>
  <c r="E7" i="4" s="1"/>
</calcChain>
</file>

<file path=xl/comments1.xml><?xml version="1.0" encoding="utf-8"?>
<comments xmlns="http://schemas.openxmlformats.org/spreadsheetml/2006/main">
  <authors>
    <author>Ekaterine Adamia</author>
  </authors>
  <commentList>
    <comment ref="J36" authorId="0">
      <text>
        <r>
          <rPr>
            <b/>
            <sz val="9"/>
            <color indexed="81"/>
            <rFont val="Tahoma"/>
            <family val="2"/>
          </rPr>
          <t>Ekaterine Adamia:</t>
        </r>
        <r>
          <rPr>
            <sz val="9"/>
            <color indexed="81"/>
            <rFont val="Tahoma"/>
            <family val="2"/>
          </rPr>
          <t xml:space="preserve">
02 კოდზე მთლიანი ხარჯი</t>
        </r>
      </text>
    </comment>
    <comment ref="J37" authorId="0">
      <text>
        <r>
          <rPr>
            <b/>
            <sz val="9"/>
            <color indexed="81"/>
            <rFont val="Tahoma"/>
            <family val="2"/>
          </rPr>
          <t>Ekaterine Adamia:</t>
        </r>
        <r>
          <rPr>
            <sz val="9"/>
            <color indexed="81"/>
            <rFont val="Tahoma"/>
            <family val="2"/>
          </rPr>
          <t xml:space="preserve">
03 კოდზე მთლიანი ხარჯი</t>
        </r>
      </text>
    </comment>
    <comment ref="J47" authorId="0">
      <text>
        <r>
          <rPr>
            <b/>
            <sz val="9"/>
            <color indexed="81"/>
            <rFont val="Tahoma"/>
            <family val="2"/>
          </rPr>
          <t>Ekaterine Adamia:</t>
        </r>
        <r>
          <rPr>
            <sz val="9"/>
            <color indexed="81"/>
            <rFont val="Tahoma"/>
            <family val="2"/>
          </rPr>
          <t xml:space="preserve">
02 კოდზე მთლიანი ხარჯი</t>
        </r>
      </text>
    </comment>
    <comment ref="L51" authorId="0">
      <text>
        <r>
          <rPr>
            <b/>
            <sz val="9"/>
            <color indexed="81"/>
            <rFont val="Tahoma"/>
            <family val="2"/>
          </rPr>
          <t>Ekaterine Adamia:</t>
        </r>
        <r>
          <rPr>
            <sz val="9"/>
            <color indexed="81"/>
            <rFont val="Tahoma"/>
            <family val="2"/>
          </rPr>
          <t xml:space="preserve">
03 კოდზე მოსალოდნელი</t>
        </r>
      </text>
    </comment>
    <comment ref="J60" authorId="0">
      <text>
        <r>
          <rPr>
            <b/>
            <sz val="9"/>
            <color indexed="81"/>
            <rFont val="Tahoma"/>
            <family val="2"/>
          </rPr>
          <t>Ekaterine Adamia:</t>
        </r>
        <r>
          <rPr>
            <sz val="9"/>
            <color indexed="81"/>
            <rFont val="Tahoma"/>
            <family val="2"/>
          </rPr>
          <t xml:space="preserve">
02 კოდზე მთლიანი ხარჯი</t>
        </r>
      </text>
    </comment>
    <comment ref="F80" authorId="0">
      <text>
        <r>
          <rPr>
            <b/>
            <sz val="9"/>
            <color indexed="81"/>
            <rFont val="Tahoma"/>
            <family val="2"/>
          </rPr>
          <t>Ekaterine Adamia:</t>
        </r>
        <r>
          <rPr>
            <sz val="9"/>
            <color indexed="81"/>
            <rFont val="Tahoma"/>
            <family val="2"/>
          </rPr>
          <t xml:space="preserve">
5 მილიონი ჩამოეჭრა რეფერალისთვის</t>
        </r>
      </text>
    </comment>
  </commentList>
</comments>
</file>

<file path=xl/comments2.xml><?xml version="1.0" encoding="utf-8"?>
<comments xmlns="http://schemas.openxmlformats.org/spreadsheetml/2006/main">
  <authors>
    <author>Ekaterine Adamia</author>
  </authors>
  <commentList>
    <comment ref="I29" authorId="0">
      <text>
        <r>
          <rPr>
            <b/>
            <sz val="9"/>
            <color indexed="81"/>
            <rFont val="Tahoma"/>
            <family val="2"/>
          </rPr>
          <t>Ekaterine Adamia:</t>
        </r>
        <r>
          <rPr>
            <sz val="9"/>
            <color indexed="81"/>
            <rFont val="Tahoma"/>
            <family val="2"/>
          </rPr>
          <t xml:space="preserve">
სატენდერო ეკონომია</t>
        </r>
      </text>
    </comment>
  </commentList>
</comments>
</file>

<file path=xl/comments3.xml><?xml version="1.0" encoding="utf-8"?>
<comments xmlns="http://schemas.openxmlformats.org/spreadsheetml/2006/main">
  <authors>
    <author>Author</author>
  </authors>
  <commentList>
    <comment ref="B4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2015 წლის ნოემბრის თვე; სადავო შემთხვევები</t>
        </r>
      </text>
    </comment>
    <comment ref="B7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2015 წლის ნოემბრის თვე</t>
        </r>
      </text>
    </comment>
    <comment ref="B10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2015 წლის ნოემბრის თვე</t>
        </r>
      </text>
    </comment>
    <comment ref="B11" author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2015 წლის ნოემბერი</t>
        </r>
      </text>
    </comment>
    <comment ref="B13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2015 წლის ოქტომბერი, ნოემბერი</t>
        </r>
      </text>
    </comment>
    <comment ref="B14" author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2015 წლის ნოემბერი, სადავო შემთხვევები</t>
        </r>
      </text>
    </comment>
    <comment ref="B18" authorId="0">
      <text>
        <r>
          <rPr>
            <b/>
            <sz val="8"/>
            <color indexed="81"/>
            <rFont val="Tahoma"/>
            <family val="2"/>
          </rPr>
          <t>Author:
2015 წლის ოქტომბერი, ნოემბერი</t>
        </r>
      </text>
    </comment>
    <comment ref="B19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სადავო შემთხვევა</t>
        </r>
      </text>
    </comment>
    <comment ref="B28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სადავო შემთხვევები</t>
        </r>
      </text>
    </comment>
    <comment ref="B32" authorId="0">
      <text>
        <r>
          <rPr>
            <sz val="8"/>
            <color indexed="81"/>
            <rFont val="Tahoma"/>
            <family val="2"/>
          </rPr>
          <t xml:space="preserve">
2015 წლის ოქტომბერი, ნოემბერი, სადავო შემთხვევები</t>
        </r>
      </text>
    </comment>
    <comment ref="B36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2015 წლის ნოემბრის თვე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 xml:space="preserve">2015 წლის ოქტომბერი, 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2015 წლის ოქტომბერი, ნოემბერი</t>
        </r>
      </text>
    </comment>
    <comment ref="B49" authorId="0">
      <text>
        <r>
          <rPr>
            <b/>
            <sz val="8"/>
            <color indexed="81"/>
            <rFont val="Tahoma"/>
            <family val="2"/>
          </rPr>
          <t xml:space="preserve">Author:
</t>
        </r>
      </text>
    </comment>
    <comment ref="B58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2015 წლის ოქტომბერი, ნოემბერი</t>
        </r>
      </text>
    </comment>
    <comment ref="B60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2015 წლის 08, 09, 10, 11 თვის შესრულებები</t>
        </r>
      </text>
    </comment>
    <comment ref="B68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2015 წლის ნოემბერი, ოქტომბერი</t>
        </r>
      </text>
    </comment>
  </commentList>
</comments>
</file>

<file path=xl/sharedStrings.xml><?xml version="1.0" encoding="utf-8"?>
<sst xmlns="http://schemas.openxmlformats.org/spreadsheetml/2006/main" count="751" uniqueCount="484">
  <si>
    <t>პროგრამული კოდი</t>
  </si>
  <si>
    <t>N</t>
  </si>
  <si>
    <t>პრიორიტეტებისა და მათ ფარგლებში განხორციელებული პროგრამის/ქვეპროგრამისა და ღონისძიების დასახელება</t>
  </si>
  <si>
    <t>სასწრაფო გადაუდებელი დახმარება და სამედიცინო ტრანსპორტირება</t>
  </si>
  <si>
    <t>საზოგადოებრივი ჯანმრთელობის დაცვა</t>
  </si>
  <si>
    <t>35 03</t>
  </si>
  <si>
    <t>მოსახლეობის ჯანმრთელობის დაცვა</t>
  </si>
  <si>
    <t>35 03 01</t>
  </si>
  <si>
    <t>მოსახლეობის საყოველთაო ჯანმრთელობის დაცვა</t>
  </si>
  <si>
    <t>35 03 02</t>
  </si>
  <si>
    <t>35 03 02 01</t>
  </si>
  <si>
    <t>დაავადებათა ადრეული გამოვლენა და სკრინინგი</t>
  </si>
  <si>
    <t>კიბოს სკრინინგის კომპონენტი</t>
  </si>
  <si>
    <t>საშვილოსნოს ყელის ორგანიზებული სკრინინგის პილოტი</t>
  </si>
  <si>
    <t>1-დან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</t>
  </si>
  <si>
    <t>ეპილეფსიის დიაგნოსტიკა და ზედამხედველობა</t>
  </si>
  <si>
    <t>3.2.1.1.</t>
  </si>
  <si>
    <t xml:space="preserve">იმუნიზაცია </t>
  </si>
  <si>
    <t>35 03 02 02</t>
  </si>
  <si>
    <t>ვაქცინებისა და ასაცრელი მასალების შესყიდვა</t>
  </si>
  <si>
    <t>სპეციფიკური შრატებისა და ვაქცინების შესყიდვა</t>
  </si>
  <si>
    <t>ანტირაბიული სამკურნალო საშუალებებით უზრუნველყოფა</t>
  </si>
  <si>
    <t>აცრა-ვიზიტისა და ექიმის კონსულტაციის მომსახურება</t>
  </si>
  <si>
    <t>3.2.2.1</t>
  </si>
  <si>
    <t>3.2.2.2</t>
  </si>
  <si>
    <t>3.2.2.3</t>
  </si>
  <si>
    <t>3.2.2.4</t>
  </si>
  <si>
    <t>ეპიდზედამხედველობა</t>
  </si>
  <si>
    <t>35 03 02 03</t>
  </si>
  <si>
    <t>მალარიისა და სხვა პარაზიტული დაავადებების პრევენციისა და კონტროლის გაუმჯობესება</t>
  </si>
  <si>
    <t>ნოზოკომიური ინფექციების ეპიდზედამხედველობა</t>
  </si>
  <si>
    <t>ვირუსული დიარეების კვლევა</t>
  </si>
  <si>
    <t>გრიპის სეზონური გავრცელების პრევენციის ღონისძიებების დაგეგმვა (მ.შ. გრიპის საწინააღმდეგო ვაქცინის შესყიდვა) და განხორციელება</t>
  </si>
  <si>
    <t>რეგიონულ და მუნიციპალურ დონეზე არსებული სჯდ ცენტრებისთვის ეპიდზედამხედველობის, იმუნიზაციისა და სამედიცინო სტატისტიკის ღონისძიებათა ფარგლებში მომსახურების დაფინანსება</t>
  </si>
  <si>
    <t>3.2.3.1</t>
  </si>
  <si>
    <t>3.2.3.2</t>
  </si>
  <si>
    <t>3.2.3.3</t>
  </si>
  <si>
    <t>3.2.3.4</t>
  </si>
  <si>
    <t>3.2.3.5</t>
  </si>
  <si>
    <t>უსაფრთხო სისხლი</t>
  </si>
  <si>
    <t>35 03 02 04</t>
  </si>
  <si>
    <t>დონორული სისხლის კვლევა B და C ჰეპატიტზე, აივ-ინფექციაზე/შიდსზე და ათაშანგზე</t>
  </si>
  <si>
    <t>ხარისხის გარე კონტროლის და მონიტორინგის უზრუნველყოფა (მ.შ. სისხლის დონორთა ერთიანი ეროვნული ელექტრონული ბაზის ადმინისტრირება და სრულყოფა)</t>
  </si>
  <si>
    <t>სისხლის უანგარო, რეგულარული დონორობის მხარდაჭერისა და მოზიდვის ეროვნული  კამპანიის  განხორციელების  მიზნით  გასატარებელი ღონისძიებები, მათ შორის  "უანგარო დონორთა მსოფლიო დღესთან" დაკავშირებული ღონისძიებების მხარდაჭერა</t>
  </si>
  <si>
    <t>3.2.4.1</t>
  </si>
  <si>
    <t>3.2.4.2</t>
  </si>
  <si>
    <t>3.2.4.3</t>
  </si>
  <si>
    <t>პროფესიულ დაავადებათა პრევენცია</t>
  </si>
  <si>
    <t>35 03 02 05</t>
  </si>
  <si>
    <t>35 03 02 06</t>
  </si>
  <si>
    <t>ინფექციური დაავადებების მართვა</t>
  </si>
  <si>
    <t>ამბულატორიული მომსახურება (მათ შორის, პატიმრობისა და თავისუფლების აღკვეთის დაწესებულებებში ტუბსაწინააღმდეგო ამბულატორიული ღონისძიებების დაფინანსება – 12 500 ლარი თვეში)</t>
  </si>
  <si>
    <t>ლაბორატორიული კონტროლი და ნახველის ლოჯისტიკა</t>
  </si>
  <si>
    <t>სტაციონარული მომსახურება</t>
  </si>
  <si>
    <t>პატიმრობისა და თავისუფლების აღკვეთის დაწესებულებებისათვის ტუბერკულოზის მართვისთვის მედიკამენტების, სხვა სახარჯი და დამხმარე მასალების შესყიდვა</t>
  </si>
  <si>
    <t>35 03 02 07</t>
  </si>
  <si>
    <t>3.2.7.1</t>
  </si>
  <si>
    <t>3.2.7.2</t>
  </si>
  <si>
    <t>3.2.7.3</t>
  </si>
  <si>
    <t>3.2.7.4</t>
  </si>
  <si>
    <t>ტუბერკულოზის მართვა</t>
  </si>
  <si>
    <t>ტუბერკულოზის პროგრამის რეგიონალური მართვა და მონიტორინგი</t>
  </si>
  <si>
    <t>ტუბერკულოზის სამკურნალო პირველი რიგის მედიკამენტების შესყიდვა</t>
  </si>
  <si>
    <t>ბაქტერიოსკოპული და კულტურალური კვლევისთვისთვის საჭირო სახარჯი მასალების შეძენა; ინდივიდუალური დაცვის საშუალებების (ნიღბების, რესპირატორები) შეძენა;</t>
  </si>
  <si>
    <t>3.2.7.5</t>
  </si>
  <si>
    <t>3.2.7.6</t>
  </si>
  <si>
    <t>3.2.7.7</t>
  </si>
  <si>
    <t>3.2.7.8</t>
  </si>
  <si>
    <t>აივ ინფექცია/შიდსის მართვა</t>
  </si>
  <si>
    <t>35 03 02 08</t>
  </si>
  <si>
    <t>აივ-ინფექცია/შიდსზე ნებაყოფლობითი კონსულტირება და ტესტირება ( მ.შ. აივ-ინფექცია/შიდსზე სკრინინგული კვლევისათვის საჭირო ტესტ-სისტემების და სახარჯი მასალების შესყიდვა)</t>
  </si>
  <si>
    <t>აივ-ინფექცია/შიდსით დაავადებულთა ამბულატორიული მომსახურებით უზრუნველყოფა</t>
  </si>
  <si>
    <t>აივ-ინფექცია/შიდსით დაავადებულთა სტაციონარული მომსახურებით უზრუნველყოფა</t>
  </si>
  <si>
    <t>აივ-ინფექცია/შიდსის სამკურნალო პირველი რიგის მედიკამენტების შესყიდვა</t>
  </si>
  <si>
    <t>3.2.8.1</t>
  </si>
  <si>
    <t>3.2.8.2</t>
  </si>
  <si>
    <t>3.2.8.3</t>
  </si>
  <si>
    <t>3.2.8.4</t>
  </si>
  <si>
    <t>დედათა და ბავშვთა ჯანმრთელობა</t>
  </si>
  <si>
    <t>35 03 02 09</t>
  </si>
  <si>
    <t>ანტენატალური მეთვალყურეობა</t>
  </si>
  <si>
    <t>მაღალი რისკის ორსულთა, მშობიარეთა და მელოგინეთა მკურნალობა</t>
  </si>
  <si>
    <t>გენეტიკური პათოლოგიების ადრეული გამოვლენა</t>
  </si>
  <si>
    <t>ორსულებში B და C ჰეპატიტების, აივ-ინფექციის/შიდსის და სიფილისის განსაზღვრისათვის საჭირო ტესტებითა და სახარჯი მასალებით უზრუნველყოფა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</si>
  <si>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</si>
  <si>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ახალშობილთა სმენის სკრინინგული გამოკვლევა</t>
  </si>
  <si>
    <t>ორსულთა მედიკამენტებით უზრუნველყოფა.</t>
  </si>
  <si>
    <t>3.2.9.1</t>
  </si>
  <si>
    <t>3.2.9.2</t>
  </si>
  <si>
    <t>3.2.9.3</t>
  </si>
  <si>
    <t>3.2.9.4</t>
  </si>
  <si>
    <t>3.2.9.5</t>
  </si>
  <si>
    <t>3.2.9.6</t>
  </si>
  <si>
    <t>3.2.9.7</t>
  </si>
  <si>
    <t>35 03 02 10</t>
  </si>
  <si>
    <t>ნარკომანიით დაავადებულ პაციენტთა მკურნალობა</t>
  </si>
  <si>
    <t>სტაციონარული დეტოქსიკაცია და პირველადი რეაბილიტაცია ოპიოიდების, სტიმულატორების და სხვა ფსიქოაქტიური ნივთიერებების,  მოხმარებით გამოწვეული ფსიქიკური და ქცევითი აშლილობების დროს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</si>
  <si>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</t>
  </si>
  <si>
    <t>ჩამანაცვლებელი ფარმაცევტული პროდუქტის შესყიდვა</t>
  </si>
  <si>
    <t>ჩამანაცვლებელი ფარმაცევტული პროდუქტის ტრანსპორტირება, შენახვა და გაცემა</t>
  </si>
  <si>
    <t>ეფექტურობის შეფასების კომპონენტი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</si>
  <si>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</si>
  <si>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ჯანმრთელობის ხელშეწყობა</t>
  </si>
  <si>
    <t>35 03 02 11</t>
  </si>
  <si>
    <t>თამბაქოს მოხმარების კონტროლის გაძლიერება</t>
  </si>
  <si>
    <t>ჯანსაღი კვების შესახებ განათლება და ალკოჰოლის ჭარბი მოხმარების შესახებ ცნობიერების ამაღლება</t>
  </si>
  <si>
    <t>ფიზიკური აქტივობის ხელშეწყობა</t>
  </si>
  <si>
    <t>C ჰეპატიტის პრევენცია და მოსახლეობის განათლების ხელშეწყობა</t>
  </si>
  <si>
    <t>ჯანმრთელობის ხელშეწყობის პოპულარიზაცია და გაძლიერება</t>
  </si>
  <si>
    <t>35 03 02 12</t>
  </si>
  <si>
    <t>C ჰეპატიტის მართვა</t>
  </si>
  <si>
    <t xml:space="preserve">C ჰეპატიტით დაავადებულ პირთა დიაგნოსტიკა </t>
  </si>
  <si>
    <t xml:space="preserve">C ჰეპატიტით დაავადებულ პირთა C ჰეპატიტის სამკურნალო ფარმაცევტული პროდუქტით უზრუნველყოფა </t>
  </si>
  <si>
    <t>მედიკამენტების ლოჯისტიკა</t>
  </si>
  <si>
    <t>3.2.12.1</t>
  </si>
  <si>
    <t>3.2.12.2</t>
  </si>
  <si>
    <t>3.2.12.3</t>
  </si>
  <si>
    <t>35 03 03</t>
  </si>
  <si>
    <t>მოსახლეობის სამედიცინო მომსახურების მიწოდება პრიორიტეტულ სფეროებში</t>
  </si>
  <si>
    <t xml:space="preserve">ფსიქიკური ჯანმრთელობა </t>
  </si>
  <si>
    <t>35 03 03 01</t>
  </si>
  <si>
    <t>ფსიქიატრიული ამბულატორიული მომსახურება</t>
  </si>
  <si>
    <t>ფსიქოსოციალური რეაბილიტაცია</t>
  </si>
  <si>
    <t>ბავშვთა ფსიქიკური ჯანმრთელობა</t>
  </si>
  <si>
    <t>ფსიქიატრიული კრიზისული ინტერვენცია</t>
  </si>
  <si>
    <t>თემზე დაფუძნებული მობილური გუნდის მომსახურება</t>
  </si>
  <si>
    <t>ბავშვთა და მოზრდილთა სტაციონარული მომსახურება</t>
  </si>
  <si>
    <t>ფსიქიკური დარღვევების მქონე პირთა თავშესაფრით უზრუნველყოფის კომპონენტი</t>
  </si>
  <si>
    <t>3.3.1.1.</t>
  </si>
  <si>
    <t>35 03 03 02</t>
  </si>
  <si>
    <t>დიაბეტის მართვა</t>
  </si>
  <si>
    <t>შაქრიანი დიაბეტით დაავადებულ ბავშვთა მომსახურება</t>
  </si>
  <si>
    <t>სპეციალიზებული ამბულატორიული დახმარება</t>
  </si>
  <si>
    <t>შაქრიანი დიაბეტით დაავადებულ პაციენტთა მედიკამენტებით უზრუნველყოფა</t>
  </si>
  <si>
    <t>უშაქრო დიაბეტით დაავადებულთა მედიკამენტებით უზრუნველყოფა</t>
  </si>
  <si>
    <t>სპეციალურ სამკურნალო საშუალებათა ტრანსპორტირების, შენახვისა და გაცემის ხარჯები</t>
  </si>
  <si>
    <t>3.3.1.1</t>
  </si>
  <si>
    <t>3.3.1.2</t>
  </si>
  <si>
    <t>3.3.1.3</t>
  </si>
  <si>
    <t>3.3.1.4</t>
  </si>
  <si>
    <t>3.3.2.1</t>
  </si>
  <si>
    <t>3.3.2.2</t>
  </si>
  <si>
    <t>3.3.2.3</t>
  </si>
  <si>
    <t>3.3.2.4</t>
  </si>
  <si>
    <t>3.3.2.5</t>
  </si>
  <si>
    <t>35 03 03 03</t>
  </si>
  <si>
    <t>ბავშვთა ონკოჰემატოლოგიური მომსახურება</t>
  </si>
  <si>
    <t>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</t>
  </si>
  <si>
    <t>3.3.3.1</t>
  </si>
  <si>
    <t>დიალიზი და თირკმლის ტრანსპლანტაცია</t>
  </si>
  <si>
    <t>35 03 03 04</t>
  </si>
  <si>
    <t>ჰემოდიალიზით უზრუნველყოფა</t>
  </si>
  <si>
    <t>პერიტონეული დიალიზით უზრუნველყოფა</t>
  </si>
  <si>
    <t>ჰემო და პერიტონეული დიალიზისათვის საჭირო სადიალიზე საშუალებების, მასალისა და მედიკამენტების შესყიდვა და მიწოდება</t>
  </si>
  <si>
    <t>თირკმლის ტრანსპლანტაცია</t>
  </si>
  <si>
    <t>ორგანოგადანერგილთა იმუნოსუპრესული მედიკამენტებით უზრუნველყოფა</t>
  </si>
  <si>
    <t>ჰემოდიალიზზე მყოფ პაციენტთა სისხლძარღვოვანი მიდგომით უზრუნველყოფა</t>
  </si>
  <si>
    <t>სამკურნალო საშუალებათა ტრანსპორტირება, შენახვა და გაცემა</t>
  </si>
  <si>
    <t>35 03 03 05</t>
  </si>
  <si>
    <t>ინკურაბელურ პაციენტთა პალიატიური მზრუნველობა</t>
  </si>
  <si>
    <t>ინკურაბელურ პაციენტთა ამბულატორიული პალიატიური მზრუნველობა</t>
  </si>
  <si>
    <t>ინკურაბელურ პაციენტთა სტაციონარული პალიატიური მზრუნველობა</t>
  </si>
  <si>
    <t>ინკურაბელურ პაციენტთა მედიკამენტებით უზრუნველყოფა</t>
  </si>
  <si>
    <t>3.3.4.1</t>
  </si>
  <si>
    <t>3.3.4.2</t>
  </si>
  <si>
    <t>3.3.4.3</t>
  </si>
  <si>
    <t>3.3.4.4</t>
  </si>
  <si>
    <t>3.3.4.5</t>
  </si>
  <si>
    <t>3.3.4.6</t>
  </si>
  <si>
    <t>3.3.4.7</t>
  </si>
  <si>
    <t>3.3.5.1</t>
  </si>
  <si>
    <t>3.3.5.2</t>
  </si>
  <si>
    <t>3.3.5.3</t>
  </si>
  <si>
    <t>3.3.5.4</t>
  </si>
  <si>
    <t>35 03 03 06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</si>
  <si>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</si>
  <si>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იშვიათი დაავადებების მქონე  18 წლამდე ასაკის ბავშვთა ამბულატორიული მომსახურება</t>
  </si>
  <si>
    <t>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</t>
  </si>
  <si>
    <t>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</si>
  <si>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ჰემოფილიით დაავადებულ ბავშვთა და მოზრდილთა მედიკამენტებით უზრუნველყოფა</t>
  </si>
  <si>
    <t>ფენილკეტონურიით დაავადებულთა სამკურნალო საკვები დანამატით უზრუნველყოფა</t>
  </si>
  <si>
    <t>მუკოვისციდოზით დაავადებულთა სპეციფიკური მედიკამენტებით უზრუნველყოფა</t>
  </si>
  <si>
    <t>მემკვიდრული ჰიპოგამაგლობულინემიით (ბრუტონის დაავადება) დაავადებულ 18 წლამდე ასაკის ბავშვთა სპეციფიკური მედიკამენტებით  უზრუნველყოფა</t>
  </si>
  <si>
    <t>ზრდის ჰორმონის დეფიციტისა და ტერნერის სინდრომის მქონე ბავშვთა და მოზარდთა ზრდის ჰორმონით უზრუნველყოფა</t>
  </si>
  <si>
    <t>იუვენილური რევმატოიდული ართრიტით დაავადებულ 18 წლამდე ასაკის ბავშვთათვის ბიოლოგიური პრეპარატებით უზრუნველყოფა</t>
  </si>
  <si>
    <t>დიდი თალასემიით დაავადებულთათვის რკინის შემბოჭავი პრეპარატებით უზრუნველყოფა</t>
  </si>
  <si>
    <t>იდიოპათიური პულმონური ფიბროზით დაავადებული პაციენტების უზრუნველყოფა პირფენიდონით</t>
  </si>
  <si>
    <t>სპეციალური სამკურნალო საშუალებათა ტრანსპორტირების, შენახვისა და გაცემის ხარჯები</t>
  </si>
  <si>
    <t>3.3.6.1</t>
  </si>
  <si>
    <t>3.3.6.2</t>
  </si>
  <si>
    <t>3.3.6.3</t>
  </si>
  <si>
    <t>3.3.6.4</t>
  </si>
  <si>
    <t>3.3.6.5</t>
  </si>
  <si>
    <t>3.3.6.6</t>
  </si>
  <si>
    <t>3.3.6.7</t>
  </si>
  <si>
    <t>3.3.6.8</t>
  </si>
  <si>
    <t>3.3.6.9</t>
  </si>
  <si>
    <t>3.3.6.10</t>
  </si>
  <si>
    <t>3.3.6.11</t>
  </si>
  <si>
    <t>3.3.6.12</t>
  </si>
  <si>
    <t>35 03 03 07</t>
  </si>
  <si>
    <t>სასწრაფო სამედიცინო დახმარება (მ.შ. ოკუპირებულ ტერიტორიაზე მოქმედი სასწრაფო სამედიცინო დახმარება)</t>
  </si>
  <si>
    <t>სამედიცინო ტრანსპორტირება - რეფერალური დახმარება</t>
  </si>
  <si>
    <t>სამედიცინო ტრანსპორტირება - საქართველოს საკანონმდებლო, აღმასრულებელი და სასამართლო ხელისუფლების უმაღლეს თანამდებობის პირთა და საქართველოში ოფიციალური ვიზიტით მყოფ საზღვარგარეთის ქვეყნების ხელმძღვანელთა გადაუდებელი სამედიცინო დახმარება</t>
  </si>
  <si>
    <t>სამედიცინო ტრანსპორტირება - საგანგებო სიტუაციებისა და სპეციალური ოპერაციების დროს შესაბამისი ტექნიკით აღჭურვილი სამედიცინო ბრიგადის თანხლება და გადაუდებელი სამედიცინო დახმარების უზრუნველყოფა</t>
  </si>
  <si>
    <t>„პროგრამა „მომავლის ბანაკის“ განხორციელების შესახებ“ საქართველოს მთავრობის 2015 წლის 1 ივნისის №1114 განკარგულებით განსაზღვრული ღონისძიებების უზრუნველყოფა</t>
  </si>
  <si>
    <t>სასწრაფო სამედიცინო გადაუდებელი დახმარება</t>
  </si>
  <si>
    <t>სოფლის ექიმი</t>
  </si>
  <si>
    <t>35 03 03 08</t>
  </si>
  <si>
    <t>პირველადი ჯანდაცვის მომსახურება სოფლად (მათ შორის – ამბულატორიული მომსახურებისათვის აუცილებელი მედიკამენტების და სამედიცინო დანიშნულების საგნების, ექიმის ჩანთის და სამედიცინო დოკუმენტაციის ბეჭდვის მომსახურების შესყიდვა)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</si>
  <si>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</si>
  <si>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შიდა ქართლის სოფლების ამბულატორიული ქსელის ხელშეწყობა და განვითარება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</si>
  <si>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</si>
  <si>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3.3.7.1</t>
  </si>
  <si>
    <t>3.3.7.2</t>
  </si>
  <si>
    <t>3.3.7.3</t>
  </si>
  <si>
    <t>3.3.7.4</t>
  </si>
  <si>
    <t>3.3.7.5</t>
  </si>
  <si>
    <t>3.3.7.6</t>
  </si>
  <si>
    <t>3.3.8.1</t>
  </si>
  <si>
    <t>3.3.8.2</t>
  </si>
  <si>
    <t>3.3.8.3</t>
  </si>
  <si>
    <t>3.3.8.4</t>
  </si>
  <si>
    <t>რეფერალური მომსახურება</t>
  </si>
  <si>
    <t>35 03 03 09</t>
  </si>
  <si>
    <t xml:space="preserve">სტიქიური უბედურებების, კატასტროფების, საგანგებო სიტუაციების,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</t>
  </si>
  <si>
    <t xml:space="preserve">საქართველოს საკანონმდებლო, აღმასრულებელი და სასამართლო ხელისუფლების უმაღლეს თანამდებობის პირთა და მათი ოჯახის წევრთა გეგმიური სამედიცინო დახმარების ხარჯების ანაზღაურების კომპონენტი </t>
  </si>
  <si>
    <t>ყოფილი უმაღლესი პოლიტიკური თანამდებობის პირების ოჯახის წევრთა სამედიცინო დაზღვევის კომპონენტი</t>
  </si>
  <si>
    <t>მსჯავრდებულთა კომისიური შემოწმების უზრუნველყოფა</t>
  </si>
  <si>
    <t>3.3.9.1</t>
  </si>
  <si>
    <t>3.3.9.2</t>
  </si>
  <si>
    <t>3.3.9.3</t>
  </si>
  <si>
    <t>3.3.9.4</t>
  </si>
  <si>
    <t>სამხედრო ძალებში გასაწვევ მოქალაქეთა სამედიცინო შემოწმება</t>
  </si>
  <si>
    <t>სამხედრო ძალებში გასაწვევ მოქალაქეთა ამბულატორიული შემოწმების კომპონენტი</t>
  </si>
  <si>
    <t>სამხედრო ძალებში გასაწვევ მოქალაქეთა დამატებითი გამოკვლევის კომპონენტი</t>
  </si>
  <si>
    <t>35 03 03 10</t>
  </si>
  <si>
    <t>3.3.10.1</t>
  </si>
  <si>
    <t>3.3.10.2</t>
  </si>
  <si>
    <t>35 03 04</t>
  </si>
  <si>
    <t>დიპლომისშემდგომი სამედიცინო განათლების პროგრამა</t>
  </si>
  <si>
    <t>მაღალმთიან და საზღვრისპირა მუნიციპალიტეტებში მცხოვრები მოსახლეობისათვის სამედიცინო სერვისების მიწოდების უწყვეტობისათვის დიპლომშემდგომი სამედიცინო განათლება</t>
  </si>
  <si>
    <t>3.4.1</t>
  </si>
  <si>
    <t>3.2.10.1</t>
  </si>
  <si>
    <t>3.2.10.2</t>
  </si>
  <si>
    <t>3.2.10.3</t>
  </si>
  <si>
    <t>3.2.10.4</t>
  </si>
  <si>
    <t>3.2.10.5</t>
  </si>
  <si>
    <t>3.2.10.6</t>
  </si>
  <si>
    <t>3.2.11.1</t>
  </si>
  <si>
    <t>3.2.11.2</t>
  </si>
  <si>
    <t>3.2.11.3</t>
  </si>
  <si>
    <t>3.2.11.4</t>
  </si>
  <si>
    <t>3.2.11.5</t>
  </si>
  <si>
    <t>დანართი №3.3</t>
  </si>
  <si>
    <t>ტუბერკულოზის სამკურნალო მეორე რიგის მედიკამენტების შესყიდვა</t>
  </si>
  <si>
    <t>ტუბერკულოზის სამკურნალო მეორე რიგის მედიკამენტებით მკურნალობის დროს გვერდითი მოვლენებისთვის სამკურნალო მედიკამენტების შესყიდვა</t>
  </si>
  <si>
    <t>თხევადი კულტურალური კვლევისთვისთვის საჭირო სახარჯი მასალების შეძენა</t>
  </si>
  <si>
    <t>Xpert MTB/RIF ლაბორატორიული კვლევები - Fast სტრატეგია</t>
  </si>
  <si>
    <t>ქვეყანაში GeneXpert სისტემის ზედამხედველობა ცენტრალურ დონეზე, GeneXpert ტესტ სისტემის კარტრიჯების შეძენა</t>
  </si>
  <si>
    <t>აივ-ინფექცია/შიდსის სამკურნალო მეორე რიგის მედიკამენტების შესყიდვა</t>
  </si>
  <si>
    <t>არვ მკურნალობის მონიტორინგის ტესტ-სისტემები</t>
  </si>
  <si>
    <t>სწრაფი-მარტივი ტესტ-სისტემების შესყიდვა (აივ, ჰეპატიტი  B და  C, სიფილისი) ლარში</t>
  </si>
  <si>
    <t>ვაქცინები აივ ინფიცირებული პაციენტებისათვის (B ჰეპატიტი, გრიპი)</t>
  </si>
  <si>
    <t>სხვა ღონისძიებები, დაფინანსებული გლობალური ფონდის პრგროამის ფარგლებში (მომსახურბები, როგორც პრევენციული, ისე სამკურნალო პროგრამის ფარგლებში) ლარში</t>
  </si>
  <si>
    <t>3.2.7.9</t>
  </si>
  <si>
    <t>3.2.7.10</t>
  </si>
  <si>
    <t>3.2.7.11</t>
  </si>
  <si>
    <t>3.2.7.12</t>
  </si>
  <si>
    <t>3.2.7.13</t>
  </si>
  <si>
    <t>3.2.8.5</t>
  </si>
  <si>
    <t>3.2.8.6</t>
  </si>
  <si>
    <t>3.2.8.7</t>
  </si>
  <si>
    <t>3.2.8.8</t>
  </si>
  <si>
    <t>3.2.8.9</t>
  </si>
  <si>
    <t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ფულადი წახალისების საშემოსავლო გადასახადი და რეზისტენტული ფორმის ტუბერკულოზით დაავადებულთა ფულადი წახალისების დაფინანსება</t>
  </si>
  <si>
    <t>2016 დამტკიცებული</t>
  </si>
  <si>
    <t>2016 დაზუსტებული</t>
  </si>
  <si>
    <t>გაწეული ხარჯი-1 ივლისი</t>
  </si>
  <si>
    <t>დეფიციტი/პროფიციტი</t>
  </si>
  <si>
    <t>სულ სავარაუდო ხარჯი 2016</t>
  </si>
  <si>
    <t>ფოლუმის მჟავისა და რკინის პერპარატების შესყიდვა</t>
  </si>
  <si>
    <t>სამკურნალო საშუალებათა ტრანსპორტირებას, შენახვას და გაცემას (სამკურნალო საშუალებების საქართველოს საბაჟო ტერიტორიაზე საქონლის გაფორმების ხარჯები, მიღება, შენახვა, ტრანსპორტირება, გაცემა ბენეფიციარებზე აფთიაქების მეშვეობით)</t>
  </si>
  <si>
    <t>საჭიროების შემთხვევაში საქართველოს მთავრობის შესაბამისი განკარგულებით განსაზღვრული ღონისძიებებით უზრუნველყოფა</t>
  </si>
  <si>
    <t>3.3.3.2</t>
  </si>
  <si>
    <t>პროგრამა/კომპონენტი</t>
  </si>
  <si>
    <t>სადავო შემთხვევები - 2016 წლის ბიუჯეტით დაფინანსებული</t>
  </si>
  <si>
    <t>დეკემბერი</t>
  </si>
  <si>
    <t>იანვარი</t>
  </si>
  <si>
    <t>თებერვალი</t>
  </si>
  <si>
    <t>მარტი</t>
  </si>
  <si>
    <t xml:space="preserve">აპრილი </t>
  </si>
  <si>
    <t>მაისი</t>
  </si>
  <si>
    <t>ივნისი</t>
  </si>
  <si>
    <t>სულ</t>
  </si>
  <si>
    <t>ივლისი</t>
  </si>
  <si>
    <t>აგვისტო</t>
  </si>
  <si>
    <t>სექტემბერი</t>
  </si>
  <si>
    <t>ოქტომბერი</t>
  </si>
  <si>
    <t>ნოემბერი</t>
  </si>
  <si>
    <t>ამბულატორიული მომსახურება (მ.შ. პატიმრობისა და თავისუფლების აღკვეთის დაწესებულებების ფარგლებში ტუბსაწინააღმდეგო ამბულატორიული ღონისძიებების დაფინანსება 12 500 ლარი თვეში)</t>
  </si>
  <si>
    <t>პატიმრებისა და თავისულების აღკვეთის დაწესებულებებისათვის ტუბერკულოზის მართისთვის მედიკამენტების, სხვა სახარჯი და დამხმარე მასალების შესყიდვა</t>
  </si>
  <si>
    <t>აივ ინფექცია/შიდსი</t>
  </si>
  <si>
    <t>ამბულატორიული მომსახურება</t>
  </si>
  <si>
    <t>ნარკომანია</t>
  </si>
  <si>
    <t>სტაციონარული დეტოქსიკაცია და პირველადი რეაბილიტაცია ოპიოიდების, ფსიქოაქტიური ნივთიერებების და სხვა სტიმულატორების მოხმარებით გამოწვეული ფსიქიკური და ქცევითი აშლილობების დროს</t>
  </si>
  <si>
    <t xml:space="preserve">ალკოჰოლის მიღებით გამოწვეული ფსიქიკური და ქცევითი აშლილობების სტაციონარული მომსახურება </t>
  </si>
  <si>
    <t>ფსიქიკური ჯანმრთელობა</t>
  </si>
  <si>
    <t>ამბულატორიული მომსახურება- ფსიქიატრიული ამბულატორიული მომსახურება</t>
  </si>
  <si>
    <t>ამბულატორიული მომსახურება - ფსიქოსოციალური რეაბილიტაცია</t>
  </si>
  <si>
    <t>ამბულატორიული მომსახურება - ბავშვთა ფსიქიკური ჯანმრთელობა</t>
  </si>
  <si>
    <t>ამბულატორიული მომსახურება - ფსიქიატრიული კრიზისული ინტერვენცია</t>
  </si>
  <si>
    <t>ამბულატორიული მომსახურება - თემზე დაფუძნებული მობილური გუნდის მომსახურება</t>
  </si>
  <si>
    <t xml:space="preserve">სტაციონარული მომსახურება  - ბავშვთა და მოზრდილთა სტაციონარული მომსახურება </t>
  </si>
  <si>
    <t>სტაციონარული მომსახურება  - ფსიქიკური დარღვევების მქონე პირთა თავშესაფრით უზრუნველყოფის კომპონენტი</t>
  </si>
  <si>
    <t>სპეციალიზებული აბულატორიული დახმარება</t>
  </si>
  <si>
    <t xml:space="preserve">ჰემოდიალიზზე მყოფ პაციენტთა სისხლძარღვოვანი მიდგომით უზრუნველყოფა, </t>
  </si>
  <si>
    <t>იშვიათი დაავადებების მქონე 18 წლამდე ასაკის ბავშვთა ამბულატორიული მომსახურება</t>
  </si>
  <si>
    <t>იშვიათი დაავადებების მქონე და მუდმივჩანაცვლებით მკურნალობას დაქვემდებარებულ 18 წლამდე ასაკის ბავშვთა სტაციონარული მომსახურება</t>
  </si>
  <si>
    <t>ჰემოფილიით დაავადებულ ბავშვთა და მოზრდილთა ამბულატორიული და სტაციონარული მომსახურება</t>
  </si>
  <si>
    <t xml:space="preserve">სასწრაფო სამედიცინო დახმარების სამსახურების რეფორმების უზრუნველსაყოფად საჭირო ღონისძიებები </t>
  </si>
  <si>
    <t>„პროგრამა „მომავლის ბანაკის“ განხორციელების შესახებ“ საქართველოს მთავრობის  23 აპრილის #728 განკარგულებით განსაზღვრული ღონისძიებების უზრუნველყოფა</t>
  </si>
  <si>
    <t>„C ჰეპატიტის მართვის პირველი ეტაპის ღონისძიებების უზრუნველყოფის თაობაზე სახელმწიფო პროგრამა</t>
  </si>
  <si>
    <t>C ჰეპატიტით დაავადებულ პირთა დიაგნოსტიკა</t>
  </si>
  <si>
    <t>დასახელება</t>
  </si>
  <si>
    <t>დამტკიცებული ბიუჯეტი</t>
  </si>
  <si>
    <t>დაზუსტებული ბიუჯეტი</t>
  </si>
  <si>
    <t>შენიშვნა</t>
  </si>
  <si>
    <t>ბენეფიციარი</t>
  </si>
  <si>
    <t>პროგრამები</t>
  </si>
  <si>
    <t>საქართველოს მთავრობის N660 დადგენილებით დამტკიცებული ბიუჯეტი</t>
  </si>
  <si>
    <t>სულ საკასო ხარჯი</t>
  </si>
  <si>
    <r>
      <t xml:space="preserve">იანვარი
</t>
    </r>
    <r>
      <rPr>
        <sz val="10"/>
        <rFont val="Sylfaen"/>
        <family val="1"/>
        <charset val="204"/>
      </rPr>
      <t>(დეკემბრის/ნოემბრის თვის შესრულება, სადავო)</t>
    </r>
  </si>
  <si>
    <r>
      <t xml:space="preserve">თებერვალი
</t>
    </r>
    <r>
      <rPr>
        <sz val="10"/>
        <rFont val="Sylfaen"/>
        <family val="1"/>
        <charset val="204"/>
      </rPr>
      <t>(იანვრის თვის შესრულება)</t>
    </r>
  </si>
  <si>
    <r>
      <t xml:space="preserve">მარტი
</t>
    </r>
    <r>
      <rPr>
        <sz val="10"/>
        <rFont val="Sylfaen"/>
        <family val="1"/>
        <charset val="204"/>
      </rPr>
      <t>(თებერვლის თვის შესრულება)</t>
    </r>
  </si>
  <si>
    <r>
      <t xml:space="preserve">აპრილი
</t>
    </r>
    <r>
      <rPr>
        <sz val="10"/>
        <rFont val="Sylfaen"/>
        <family val="1"/>
        <charset val="204"/>
      </rPr>
      <t>(მარტის თვის შესრულება)</t>
    </r>
  </si>
  <si>
    <r>
      <t xml:space="preserve">მაისი
</t>
    </r>
    <r>
      <rPr>
        <sz val="10"/>
        <rFont val="Sylfaen"/>
        <family val="1"/>
        <charset val="204"/>
      </rPr>
      <t>(აპრილის თვის შესრულება)</t>
    </r>
  </si>
  <si>
    <r>
      <t xml:space="preserve">აგვისტო
</t>
    </r>
    <r>
      <rPr>
        <sz val="10"/>
        <rFont val="Sylfaen"/>
        <family val="1"/>
        <charset val="204"/>
      </rPr>
      <t>(ივლისის თვის შესრულება)</t>
    </r>
  </si>
  <si>
    <r>
      <t xml:space="preserve">სექტემბერი
</t>
    </r>
    <r>
      <rPr>
        <sz val="10"/>
        <rFont val="Sylfaen"/>
        <family val="1"/>
        <charset val="204"/>
      </rPr>
      <t>(აგვისტოს თვის შესრულება)</t>
    </r>
  </si>
  <si>
    <r>
      <t xml:space="preserve">ოქტომბერი
</t>
    </r>
    <r>
      <rPr>
        <sz val="10"/>
        <rFont val="Sylfaen"/>
        <family val="1"/>
        <charset val="204"/>
      </rPr>
      <t>(სექტემბრის თვის შესრულება)</t>
    </r>
  </si>
  <si>
    <r>
      <t xml:space="preserve">ნოემბერი
</t>
    </r>
    <r>
      <rPr>
        <sz val="10"/>
        <rFont val="Sylfaen"/>
        <family val="1"/>
        <charset val="204"/>
      </rPr>
      <t>(ოქტომბრის თვის შესრულება)</t>
    </r>
  </si>
  <si>
    <r>
      <t xml:space="preserve">დეკემბერი
</t>
    </r>
    <r>
      <rPr>
        <sz val="10"/>
        <rFont val="Sylfaen"/>
        <family val="1"/>
        <charset val="204"/>
      </rPr>
      <t>(ნოემბრის თვის შესრულება)</t>
    </r>
    <r>
      <rPr>
        <b/>
        <sz val="10"/>
        <rFont val="Sylfaen"/>
        <family val="1"/>
        <charset val="204"/>
      </rPr>
      <t xml:space="preserve">
</t>
    </r>
  </si>
  <si>
    <t>ანაზღაურებას დაქვემდებარებული თანხა</t>
  </si>
  <si>
    <t>საკასო ხარჯი</t>
  </si>
  <si>
    <t>შემთხვევა</t>
  </si>
  <si>
    <t>35 03 02 06 01</t>
  </si>
  <si>
    <t>35 03 02 07 01</t>
  </si>
  <si>
    <r>
      <rPr>
        <b/>
        <sz val="10"/>
        <rFont val="LitNusx"/>
        <family val="2"/>
      </rPr>
      <t>ამბულატორიული მომსახურება</t>
    </r>
    <r>
      <rPr>
        <sz val="10"/>
        <rFont val="LitNusx"/>
        <family val="2"/>
      </rPr>
      <t xml:space="preserve"> (მ.შ. პატიმრობისა და თავისუფლების აღკვეთის დაწესებულებებში ტუბსაწინააღმდეგო ამბულატორიული ღონისძიებების დაფინანსება 12 500 ლარი თვეში)</t>
    </r>
  </si>
  <si>
    <t>35 03 02 08 01</t>
  </si>
  <si>
    <t>აივ ინფექცია/შიდსiთ დაავადებულთა ამბულატორიული მომსახურებით უზრუნველყოა</t>
  </si>
  <si>
    <t>აივ ინფექცია/შიდსiთ დაავადებულთა სტაციონარული მომსახურებით უზრუნველყოა</t>
  </si>
  <si>
    <t>35 03 02 09 01</t>
  </si>
  <si>
    <r>
      <rPr>
        <b/>
        <sz val="9"/>
        <rFont val="AcadNusx"/>
      </rPr>
      <t xml:space="preserve">მედიკამენტებითა და საკვები დანამატებით უზრუნველყოფის კომპონენტი </t>
    </r>
    <r>
      <rPr>
        <b/>
        <sz val="10"/>
        <rFont val="AcadNusx"/>
      </rPr>
      <t xml:space="preserve">– </t>
    </r>
    <r>
      <rPr>
        <sz val="10"/>
        <rFont val="AcadNusx"/>
      </rPr>
      <t>ფოლუმის მჟავისა და რკინის პრეპარატების შესყიდვა</t>
    </r>
  </si>
  <si>
    <r>
      <rPr>
        <b/>
        <sz val="9"/>
        <rFont val="AcadNusx"/>
      </rPr>
      <t xml:space="preserve">მედიკამენტებითა და საკვები დანამატებით უზრუნველყოფის კომპონენტი </t>
    </r>
    <r>
      <rPr>
        <b/>
        <sz val="10"/>
        <rFont val="AcadNusx"/>
      </rPr>
      <t xml:space="preserve">– </t>
    </r>
    <r>
      <rPr>
        <sz val="10"/>
        <rFont val="AcadNusx"/>
      </rPr>
      <t xml:space="preserve">სამკურნალო საშუალებათა ტრანსპორტირებას, შენახვას და გაცემას (სამკურნალო საშუალებების მათ შორის საკვები დანამატების) საქართველოს საბაჟო ტერიტორიაზე საქონლის გაფორმების ხარჯები, მიღება, შენახვა, ტრანსპორტირება და ბენეფიციარებზე გაცემა სამედიცინო დაწესებულებების/აფთიაქების მეშვეობით) </t>
    </r>
  </si>
  <si>
    <r>
      <rPr>
        <b/>
        <sz val="9"/>
        <rFont val="AcadNusx"/>
      </rPr>
      <t xml:space="preserve">მედიკამენტებითა და საკვები დანამატებით უზრუნველყოფის კომპონენტი </t>
    </r>
    <r>
      <rPr>
        <b/>
        <sz val="10"/>
        <rFont val="AcadNusx"/>
      </rPr>
      <t xml:space="preserve">– </t>
    </r>
    <r>
      <rPr>
        <sz val="10"/>
        <rFont val="AcadNusx"/>
      </rPr>
      <t>მიკროელემენტების შემცველი საკვები დანამატების შესყიდვა</t>
    </r>
  </si>
  <si>
    <r>
      <t>სტაციონარული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დეტოქსიკაცია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და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პირველადი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რეაბილიტაცია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ოპიოიდების</t>
    </r>
    <r>
      <rPr>
        <sz val="10"/>
        <rFont val="Times New Roman"/>
        <family val="1"/>
        <charset val="204"/>
      </rPr>
      <t xml:space="preserve">, სტიმულატორების და სხვა </t>
    </r>
    <r>
      <rPr>
        <sz val="10"/>
        <rFont val="Sylfaen"/>
        <family val="1"/>
        <charset val="204"/>
      </rPr>
      <t>ფსიქოაქტიური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ნივთიერებების, მოხმარებით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გამოწვეული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ფსიქიკური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და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ქცევითი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აშლილობების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დროს</t>
    </r>
  </si>
  <si>
    <r>
      <t>ჩანაცვლებითი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თერაპიის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განხორციელება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და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ჩამანაცვლებელი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ფარმაცევტული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პროდუქტის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მიწოდების</t>
    </r>
    <r>
      <rPr>
        <sz val="10"/>
        <rFont val="Times New Roman"/>
        <family val="1"/>
        <charset val="204"/>
      </rPr>
      <t xml:space="preserve"> (</t>
    </r>
    <r>
      <rPr>
        <sz val="10"/>
        <rFont val="Sylfaen"/>
        <family val="1"/>
        <charset val="204"/>
      </rPr>
      <t>ტრანსპორტირება</t>
    </r>
    <r>
      <rPr>
        <sz val="10"/>
        <rFont val="Times New Roman"/>
        <family val="1"/>
        <charset val="204"/>
      </rPr>
      <t xml:space="preserve">, </t>
    </r>
    <r>
      <rPr>
        <sz val="10"/>
        <rFont val="Sylfaen"/>
        <family val="1"/>
        <charset val="204"/>
      </rPr>
      <t>ბადრაგირება</t>
    </r>
    <r>
      <rPr>
        <sz val="10"/>
        <rFont val="Times New Roman"/>
        <family val="1"/>
        <charset val="204"/>
      </rPr>
      <t xml:space="preserve">) </t>
    </r>
    <r>
      <rPr>
        <sz val="10"/>
        <rFont val="Sylfaen"/>
        <family val="1"/>
        <charset val="204"/>
      </rPr>
      <t>უზრუნველყოფა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ქ</t>
    </r>
    <r>
      <rPr>
        <sz val="10"/>
        <rFont val="Times New Roman"/>
        <family val="1"/>
        <charset val="204"/>
      </rPr>
      <t xml:space="preserve">. </t>
    </r>
    <r>
      <rPr>
        <sz val="10"/>
        <rFont val="Sylfaen"/>
        <family val="1"/>
        <charset val="204"/>
      </rPr>
      <t>თბილისსა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და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რეგიონებში</t>
    </r>
  </si>
  <si>
    <r>
      <t>ჩამანაცვლებელი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ფარმაცევტული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პროდუქტის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შესყიდვა</t>
    </r>
  </si>
  <si>
    <r>
      <t>ჩამანაცვლებელი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ფარმაცევტული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პროდუქტის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ტრანსპორტირება</t>
    </r>
    <r>
      <rPr>
        <sz val="10"/>
        <rFont val="Times New Roman"/>
        <family val="1"/>
        <charset val="204"/>
      </rPr>
      <t xml:space="preserve">, </t>
    </r>
    <r>
      <rPr>
        <sz val="10"/>
        <rFont val="Sylfaen"/>
        <family val="1"/>
        <charset val="204"/>
      </rPr>
      <t>შენახვა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და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გაცემა</t>
    </r>
  </si>
  <si>
    <t>C ჰეპატიტის მართვის პირველი ეტაპის ღონისძიებების უზრუნველყოფა</t>
  </si>
  <si>
    <r>
      <rPr>
        <b/>
        <sz val="10"/>
        <rFont val="AcadNusx"/>
      </rPr>
      <t xml:space="preserve">ამბულატორიული მომსახურება- </t>
    </r>
    <r>
      <rPr>
        <sz val="10"/>
        <rFont val="AcadNusx"/>
      </rPr>
      <t>ფსიქიატრიული ამბულატორიული მომსახურება</t>
    </r>
  </si>
  <si>
    <r>
      <rPr>
        <b/>
        <sz val="10"/>
        <rFont val="AcadNusx"/>
      </rPr>
      <t xml:space="preserve">ამბულატორიული მომსახურება </t>
    </r>
    <r>
      <rPr>
        <sz val="10"/>
        <rFont val="AcadNusx"/>
      </rPr>
      <t>- ფსიქოსოციალური რეაბილიტაცია</t>
    </r>
  </si>
  <si>
    <r>
      <rPr>
        <b/>
        <sz val="10"/>
        <rFont val="AcadNusx"/>
      </rPr>
      <t>ამბულატორიული მომსახურება</t>
    </r>
    <r>
      <rPr>
        <sz val="10"/>
        <rFont val="AcadNusx"/>
      </rPr>
      <t xml:space="preserve"> - ბავშვთა ფსიქიკური ჯანმრთელობა</t>
    </r>
  </si>
  <si>
    <r>
      <rPr>
        <b/>
        <sz val="10"/>
        <rFont val="AcadNusx"/>
      </rPr>
      <t xml:space="preserve">ამბულატორიული მომსახურება </t>
    </r>
    <r>
      <rPr>
        <sz val="10"/>
        <rFont val="AcadNusx"/>
      </rPr>
      <t>- ფსიქიატრიული კრიზისული ინტერვენცია</t>
    </r>
  </si>
  <si>
    <r>
      <rPr>
        <b/>
        <sz val="10"/>
        <rFont val="AcadNusx"/>
      </rPr>
      <t xml:space="preserve">სტაციონარული მომსახურება  </t>
    </r>
    <r>
      <rPr>
        <sz val="10"/>
        <rFont val="AcadNusx"/>
      </rPr>
      <t xml:space="preserve">- ბავშვთა და მოზრდილთა სტაციონარული მომსახურება </t>
    </r>
  </si>
  <si>
    <r>
      <rPr>
        <b/>
        <sz val="10"/>
        <rFont val="AcadNusx"/>
      </rPr>
      <t>სტაციონარული მომსახურება</t>
    </r>
    <r>
      <rPr>
        <sz val="10"/>
        <rFont val="AcadNusx"/>
      </rPr>
      <t xml:space="preserve">  - ფსიქიკური დარღვევების მქონე პირთა თავშესაფრით უზრუნველყოფის კომპონენტი</t>
    </r>
  </si>
  <si>
    <t xml:space="preserve">35 03 03 02 </t>
  </si>
  <si>
    <r>
      <rPr>
        <b/>
        <sz val="9"/>
        <rFont val="AcadNusx"/>
      </rPr>
      <t>შაქრიანი და უშაქრო დიაბეტით დაავადებული მოსახლეობის სპეციფიკური მედიკამენტებით და საანალიზო ტექნიკური საშუალებებით უზრუნველყოფა –</t>
    </r>
    <r>
      <rPr>
        <b/>
        <sz val="10"/>
        <rFont val="AcadNusx"/>
      </rPr>
      <t xml:space="preserve"> </t>
    </r>
    <r>
      <rPr>
        <sz val="10"/>
        <rFont val="AcadNusx"/>
      </rPr>
      <t>შაქრიანი დიაბეტით დაავადებულ პაციენტთა მედიკამენტებით უზრუნველყოფა</t>
    </r>
  </si>
  <si>
    <r>
      <rPr>
        <b/>
        <sz val="9"/>
        <rFont val="AcadNusx"/>
      </rPr>
      <t xml:space="preserve">შაქრიანი და უშაქრო დიაბეტით დაავადებული მოსახლეობის სპეციფიკური მედიკამენტებით და საანალიზო ტექნიკური საშუალებებით უზრუნველყოფა </t>
    </r>
    <r>
      <rPr>
        <b/>
        <sz val="10"/>
        <rFont val="AcadNusx"/>
      </rPr>
      <t xml:space="preserve">– </t>
    </r>
    <r>
      <rPr>
        <sz val="10"/>
        <rFont val="AcadNusx"/>
      </rPr>
      <t>უშაქრო დიაბეტით დაავადებულთა მედიკამენტებით უზრუნველყოფა</t>
    </r>
  </si>
  <si>
    <r>
      <rPr>
        <b/>
        <sz val="9"/>
        <rFont val="AcadNusx"/>
      </rPr>
      <t xml:space="preserve">შაქრიანი და უშაქრო დიაბეტით დაავადებული მოსახლეობის სპეციფიკური მედიკამენტებით და საანალიზო ტექნიკური საშუალებებით უზრუნველყოფა </t>
    </r>
    <r>
      <rPr>
        <b/>
        <sz val="10"/>
        <rFont val="AcadNusx"/>
      </rPr>
      <t xml:space="preserve">– </t>
    </r>
    <r>
      <rPr>
        <sz val="10"/>
        <rFont val="AcadNusx"/>
      </rPr>
      <t>სპეციალურ სამკურნალო საშუალებათა ტრანსპორტირების, შენახვისა და გაცემის ხარჯები</t>
    </r>
  </si>
  <si>
    <t>35 03 03 04 01</t>
  </si>
  <si>
    <t>ჰემო და პერიტონეული დიალიზიsთვის საჭირო სადიალიზე საშუალებების და მედიკამენტების შესყიდვა და მიწოდება</t>
  </si>
  <si>
    <t xml:space="preserve">35 03 03 05 </t>
  </si>
  <si>
    <r>
      <rPr>
        <b/>
        <sz val="9"/>
        <rFont val="LitNusx"/>
        <family val="2"/>
      </rPr>
      <t>ინკურაბელურ პაციენტთა მედიკამენტებით უზრუნველყოფა –</t>
    </r>
    <r>
      <rPr>
        <b/>
        <sz val="10"/>
        <rFont val="LitNusx"/>
        <family val="2"/>
      </rPr>
      <t xml:space="preserve"> </t>
    </r>
    <r>
      <rPr>
        <sz val="10"/>
        <rFont val="LitNusx"/>
        <family val="2"/>
      </rPr>
      <t>ინკურაბელურ პაციენტთა მედიკამენტებით უზრუნველყოფა</t>
    </r>
  </si>
  <si>
    <r>
      <rPr>
        <b/>
        <sz val="9"/>
        <rFont val="LitNusx"/>
        <family val="2"/>
      </rPr>
      <t xml:space="preserve">ინკურაბელურ პაციენტთა მედიკამენტებით უზრუნველყოფა – </t>
    </r>
    <r>
      <rPr>
        <sz val="10"/>
        <rFont val="LitNusx"/>
        <family val="2"/>
      </rPr>
      <t>სპეციალური სამკურნალო საშუალებათა ტრანსპორტირების, შენახვისა და გაცემის ხარჯები</t>
    </r>
  </si>
  <si>
    <t xml:space="preserve">35 03 03 06 </t>
  </si>
  <si>
    <r>
      <rPr>
        <b/>
        <sz val="9"/>
        <rFont val="LitNusx"/>
        <family val="2"/>
      </rPr>
      <t xml:space="preserve">იშვიათი დაავადებების მქონე პაციენტების სპეციფიკური მედიკამენტებით უზრუნველყოფა – </t>
    </r>
    <r>
      <rPr>
        <sz val="9"/>
        <rFont val="LitNusx"/>
        <family val="2"/>
      </rPr>
      <t>ჰემოფილიით დაავადებულ ბავშვთა და მოზრდილთა მედიკამენტებით უზრუნველყოფა</t>
    </r>
  </si>
  <si>
    <r>
      <rPr>
        <b/>
        <sz val="9"/>
        <rFont val="LitNusx"/>
        <family val="2"/>
      </rPr>
      <t xml:space="preserve">იშვიათი დაავადებების მქონე პაციენტების სპეციფიკური მედიკამენტებით უზრუნველყოფა – </t>
    </r>
    <r>
      <rPr>
        <sz val="9"/>
        <rFont val="LitNusx"/>
        <family val="2"/>
      </rPr>
      <t>ფენილკეტონურიით დაავადებულ ბავშვთა სამკურნალო საკვები დანამატით უზრუნველყოფა</t>
    </r>
  </si>
  <si>
    <r>
      <rPr>
        <b/>
        <sz val="9"/>
        <rFont val="LitNusx"/>
        <family val="2"/>
      </rPr>
      <t xml:space="preserve">იშვიათი დაავადებების მქონე პაციენტების სპეციფიკური მედიკამენტებით უზრუნველყოფა – </t>
    </r>
    <r>
      <rPr>
        <sz val="9"/>
        <rFont val="LitNusx"/>
        <family val="2"/>
      </rPr>
      <t>მუკოვისციდოზით დაავადებულთა სპეციფიკური მედიკამენტებით უზრუნველყოფა</t>
    </r>
  </si>
  <si>
    <r>
      <rPr>
        <b/>
        <sz val="9"/>
        <rFont val="LitNusx"/>
        <family val="2"/>
      </rPr>
      <t xml:space="preserve">იშვიათი დაავადებების მქონე პაციენტების სპეციფიკური მედიკამენტებით უზრუნველყოფა – </t>
    </r>
    <r>
      <rPr>
        <sz val="9"/>
        <rFont val="LitNusx"/>
        <family val="2"/>
      </rPr>
      <t>მემკვიდრული ჰიპოგამაგლობულინემიით (ბრუტონის დაავადება) დაავადებულ 18 წლამდე ასაკის ბავშვთა სპეციფიკური მედიკამენტებით უზრუნველყოფა</t>
    </r>
  </si>
  <si>
    <r>
      <rPr>
        <b/>
        <sz val="9"/>
        <rFont val="LitNusx"/>
        <family val="2"/>
      </rPr>
      <t xml:space="preserve">იშვიათი დაავადებების მქონე პაციენტების სპეციფიკური მედიკამენტებით უზრუნველყოფა – </t>
    </r>
    <r>
      <rPr>
        <sz val="9"/>
        <rFont val="LitNusx"/>
        <family val="2"/>
      </rPr>
      <t>ზრდის ჰორმონის დეფიციტისა და ტერნერის სინდრომის მქონე ბავშვთა და მოზარდთა ზრდის ჰორმონით უზრუნველყოფა</t>
    </r>
  </si>
  <si>
    <r>
      <rPr>
        <b/>
        <sz val="9"/>
        <rFont val="LitNusx"/>
        <family val="2"/>
      </rPr>
      <t>იშვიათი დაავადებების მქონე პაციენტების სპეციფიკური მედიკამენტებით უზრუნველყოფა –</t>
    </r>
    <r>
      <rPr>
        <sz val="9"/>
        <rFont val="LitNusx"/>
        <family val="2"/>
      </rPr>
      <t xml:space="preserve"> იუვენილური რევმატოიდული ართრიტით დაავადებულ 18 წლამდე ასაკის ბავშვთათვის ბიოლოგიური პრეპარატებით უზრუნველყოფა</t>
    </r>
  </si>
  <si>
    <r>
      <rPr>
        <b/>
        <sz val="9"/>
        <rFont val="LitNusx"/>
        <family val="2"/>
      </rPr>
      <t>იშვიათი დაავადებების მქონე პაციენტების სპეციფიკური მედიკამენტებით უზრუნველყოფა –</t>
    </r>
    <r>
      <rPr>
        <sz val="9"/>
        <rFont val="LitNusx"/>
        <family val="2"/>
      </rPr>
      <t xml:space="preserve"> დიდი თალასემიით დაავადებულთათვის რკინის შემბოჭავი პრეპარატებით უზრუნველყოფა</t>
    </r>
  </si>
  <si>
    <r>
      <rPr>
        <b/>
        <sz val="9"/>
        <rFont val="LitNusx"/>
        <family val="2"/>
      </rPr>
      <t xml:space="preserve">იშვიათი დაავადებების მქონე პაციენტების სპეციფიკური მედიკამენტებით უზრუნველყოფა – </t>
    </r>
    <r>
      <rPr>
        <sz val="9"/>
        <rFont val="LitNusx"/>
        <family val="2"/>
      </rPr>
      <t>სპეციალური სამკურნალო საშუალებათა ტრანსპორტირების, შენახვისა და გაცემის ხარჯები</t>
    </r>
  </si>
  <si>
    <t>35 03 03 07 01</t>
  </si>
  <si>
    <t>„პროგრამა „მომავლის ბანაკის“ განხორციელების შესახებ“ საქართველოს მთავრობის  2015 წლის 1 ივნისის #1114 განკარგულებით განსაზღვრული ღონისძიებების უზრუნველყოფა</t>
  </si>
  <si>
    <t xml:space="preserve">35 03 03 09 </t>
  </si>
  <si>
    <t>მიკროელემენტების შემცველი საკვები დანამატების შესყიდვა</t>
  </si>
  <si>
    <t>ტუბერკულოზის მართვა (სოცსააგენტო)</t>
  </si>
  <si>
    <t>35 03 02 07 02</t>
  </si>
  <si>
    <t>ტუბერკულოზის მართვა (ნსდს)</t>
  </si>
  <si>
    <t>35 03 02 07 03</t>
  </si>
  <si>
    <t>ტუბერკულოზის მართვა (გლობალი)</t>
  </si>
  <si>
    <t>აივ ინფექცია/შიდსი (სოცსააგენტო)</t>
  </si>
  <si>
    <t>35 03 02 08 02</t>
  </si>
  <si>
    <t>აივ ინფექცია/შიდსი (ნსდს)</t>
  </si>
  <si>
    <t>35 03 02 08 03</t>
  </si>
  <si>
    <t>აივ ინფექცია/შიდსი (გლობალი)</t>
  </si>
  <si>
    <t>დედათა და ბავშვთა ჯანმრთელობა (სოცსააგენტო)</t>
  </si>
  <si>
    <t>35 03 02 09 02</t>
  </si>
  <si>
    <t>დედათა და ბავშვთა ჯანმრთელობა (ნსდს)</t>
  </si>
  <si>
    <t>35 03 02 12 01</t>
  </si>
  <si>
    <t>C ჰეპატიტის მართვა (სოცსააგენტო)</t>
  </si>
  <si>
    <t>35 03 02 12 02</t>
  </si>
  <si>
    <t>C ჰეპატიტის მართვა  (ნსდს)</t>
  </si>
  <si>
    <t>სასწრაფო სამედიცინო დახმარება და სამედიცინო ტრანსპორტირება (სოცსააგენტო)</t>
  </si>
  <si>
    <t>35 03 03 07 02</t>
  </si>
  <si>
    <t>სასწრაფო გადაუდებელი დახმარება (სსდ)</t>
  </si>
  <si>
    <t>დიპლომისშემდგომი სამედიცინო განათლება</t>
  </si>
  <si>
    <t>3.2.12.4</t>
  </si>
  <si>
    <t>სკრინინგის კომპონენტი</t>
  </si>
  <si>
    <t>კომპონენტი</t>
  </si>
  <si>
    <t>ბიუჯეტი 2016</t>
  </si>
  <si>
    <t>ბიუჯეტი ხელშეკრულებების მიხედვით</t>
  </si>
  <si>
    <t>გაწეული ხარჯი 1 ოქტომბრამდე</t>
  </si>
  <si>
    <t>გაწეული ხარჯი 1 ივლისის შემდგომ</t>
  </si>
  <si>
    <t>მოსალოდნელი ხარჯი</t>
  </si>
  <si>
    <t>პროფიციტი</t>
  </si>
  <si>
    <t>დეფიციტი</t>
  </si>
  <si>
    <t>დიაბეტი შაქრიანი</t>
  </si>
  <si>
    <t>დიაბეტი უშაქრო</t>
  </si>
  <si>
    <t>დედათა და ბავშვთა</t>
  </si>
  <si>
    <t>ორგანოგადანერგილი</t>
  </si>
  <si>
    <t>დიალიზი</t>
  </si>
  <si>
    <t>ინკურაბელური</t>
  </si>
  <si>
    <t>ართრიტი</t>
  </si>
  <si>
    <t>ტალასემია</t>
  </si>
  <si>
    <t>ჰემოფილია</t>
  </si>
  <si>
    <t>ფენილკეტონურია</t>
  </si>
  <si>
    <t>ზრდის ჰორმონი</t>
  </si>
  <si>
    <t>მუკოვისციდოზი</t>
  </si>
  <si>
    <t>ბრუტონი</t>
  </si>
  <si>
    <t>ევრო დღეს 2.6159</t>
  </si>
  <si>
    <t>დოლარი დღეს 2.3277</t>
  </si>
  <si>
    <t>ევრო 2.60</t>
  </si>
  <si>
    <t>დოლარი 2.34</t>
  </si>
  <si>
    <t>დოლარი 2.33</t>
  </si>
  <si>
    <t>დოლარი 2.31</t>
  </si>
  <si>
    <t>გაწეული ხარჯი საანგარიშგებო თვეების მიხედვით</t>
  </si>
  <si>
    <t>აგვისტო -არ რის დასრულებული</t>
  </si>
  <si>
    <t>ბიუჯეტი</t>
  </si>
  <si>
    <t>ნაშთი  სულ</t>
  </si>
  <si>
    <t>დარჩენილი თვის ხარჯი</t>
  </si>
  <si>
    <t>სულ მოსალოდნელი ხარჯი</t>
  </si>
  <si>
    <t>საკასო 9 თვე</t>
  </si>
  <si>
    <t>მოსალოდნელი სექტემბერი-დეკემბერი</t>
  </si>
  <si>
    <t>სატენდერო ეკონომია</t>
  </si>
  <si>
    <t>2016 ბიუჯეტი</t>
  </si>
  <si>
    <t>სსიპ ლევან საყვარელიძის სახელობის დაავადებათა კონტროლის და საზოგადოებრივი ჯანმრთელობის ეროვნული ცენტრის  2016 წლის ჯანმრთელობის სახელმწიფო პროგრამების საპროგნოზო ხარჯის/ეკონომიის შესახებ ინფორმაცია</t>
  </si>
  <si>
    <t>16,09,2016</t>
  </si>
  <si>
    <t>კოდი</t>
  </si>
  <si>
    <t>2016 წ. დაზუსტებული გეგმა</t>
  </si>
  <si>
    <t>საკასო ხარჯი 19 სექტემბრამდე</t>
  </si>
  <si>
    <t>19-30 სექტემბრამდე საკასო ხარჯი</t>
  </si>
  <si>
    <t>IV ხარჯი</t>
  </si>
  <si>
    <t>სატენდერო
ეკონომია</t>
  </si>
  <si>
    <t>თავისუფალი რესურსი</t>
  </si>
  <si>
    <t>35 01 03</t>
  </si>
  <si>
    <r>
      <rPr>
        <b/>
        <sz val="11"/>
        <color rgb="FF000000"/>
        <rFont val="Sylfaen"/>
        <family val="1"/>
        <charset val="204"/>
      </rPr>
      <t>დაავადებათა კონტროლისა და ეპიდემიოლოგიური უსაფრთხოების პროგრამის მართვა</t>
    </r>
  </si>
  <si>
    <t/>
  </si>
  <si>
    <t>ხარჯები</t>
  </si>
  <si>
    <t>შრომის ანაზღაურება</t>
  </si>
  <si>
    <t>საქონელი და მომსახურება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</si>
  <si>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</si>
  <si>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</si>
  <si>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</si>
  <si>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</si>
  <si>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ვალდებულებების კლება</t>
  </si>
  <si>
    <t>იმუნიზაცია</t>
  </si>
  <si>
    <t xml:space="preserve">ტუბერკულოზის მართვა 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</si>
  <si>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</si>
  <si>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 xml:space="preserve">35 03 02 08 </t>
  </si>
  <si>
    <t xml:space="preserve">აივ ინფექცია/შიდსი 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</si>
  <si>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</si>
  <si>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r>
      <t xml:space="preserve">დედათა და ბავშვთა ჯანმრთელობა </t>
    </r>
    <r>
      <rPr>
        <b/>
        <sz val="9"/>
        <color theme="3"/>
        <rFont val="Sylfaen"/>
        <family val="1"/>
        <charset val="204"/>
      </rPr>
      <t>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  </r>
  </si>
  <si>
    <t>ც ჰეპატიტის მართვა</t>
  </si>
  <si>
    <r>
      <t xml:space="preserve">ივნისი
</t>
    </r>
    <r>
      <rPr>
        <sz val="10"/>
        <rFont val="Sylfaen"/>
        <family val="1"/>
        <charset val="204"/>
      </rPr>
      <t>(მაისის თვის შესრულება)</t>
    </r>
  </si>
  <si>
    <r>
      <t xml:space="preserve">ივლისი
</t>
    </r>
    <r>
      <rPr>
        <sz val="10"/>
        <rFont val="Sylfaen"/>
        <family val="1"/>
        <charset val="204"/>
      </rPr>
      <t>(ივნისის თვის შესრულება, სადავო)</t>
    </r>
  </si>
  <si>
    <t>დიაგნოსტიკის კომპონენტი</t>
  </si>
  <si>
    <t>მკურნალობის კომპონენტი</t>
  </si>
  <si>
    <t>მედიკამენტების ლოჯისტიკის კომპონენტი</t>
  </si>
  <si>
    <r>
      <rPr>
        <b/>
        <sz val="10"/>
        <rFont val="AcadNusx"/>
      </rPr>
      <t xml:space="preserve">ამბულატორიული მომსახურება </t>
    </r>
    <r>
      <rPr>
        <sz val="10"/>
        <rFont val="AcadNusx"/>
      </rPr>
      <t>- თემზე დაფუძნებული მობილური გუნდის მომსახურება</t>
    </r>
  </si>
  <si>
    <t>სულ 9 თვე</t>
  </si>
  <si>
    <t>გაწეული ხარჯი  9 თვე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</si>
</sst>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L_a_r_i_-;\-* #,##0.00\ _L_a_r_i_-;_-* &quot;-&quot;??\ _L_a_r_i_-;_-@_-"/>
    <numFmt numFmtId="164" formatCode="_(* #,##0.00_);_(* \(#,##0.00\);_(* &quot;-&quot;??_);_(@_)"/>
    <numFmt numFmtId="165" formatCode="#,##0.0"/>
    <numFmt numFmtId="166" formatCode="_-* #,##0.00_р_._-;\-* #,##0.00_р_._-;_-* &quot;-&quot;??_р_._-;_-@_-"/>
    <numFmt numFmtId="167" formatCode="0.0"/>
    <numFmt numFmtId="168" formatCode="_(* #,##0_);_(* \(#,##0\);_(* &quot;-&quot;??_);_(@_)"/>
  </numFmts>
  <fonts count="9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name val="Sylfaen"/>
      <family val="1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1"/>
      <name val="Sylfaen"/>
      <family val="1"/>
    </font>
    <font>
      <sz val="10"/>
      <name val="Arial"/>
      <family val="2"/>
    </font>
    <font>
      <b/>
      <sz val="12"/>
      <name val="Sylfaen"/>
      <family val="1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b/>
      <u/>
      <sz val="11"/>
      <name val="Sylfaen"/>
      <family val="1"/>
    </font>
    <font>
      <b/>
      <i/>
      <sz val="11"/>
      <name val="Sylfae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Arial"/>
      <family val="2"/>
    </font>
    <font>
      <sz val="12"/>
      <name val="Sylfaen"/>
      <family val="1"/>
      <charset val="204"/>
    </font>
    <font>
      <b/>
      <u/>
      <sz val="14"/>
      <name val="Calibri"/>
      <family val="2"/>
      <scheme val="minor"/>
    </font>
    <font>
      <b/>
      <u/>
      <sz val="14"/>
      <name val="Arial"/>
      <family val="2"/>
    </font>
    <font>
      <b/>
      <u/>
      <sz val="14"/>
      <name val="Sylfaen"/>
      <family val="1"/>
    </font>
    <font>
      <b/>
      <sz val="12"/>
      <name val="Sylfaen"/>
      <family val="1"/>
      <charset val="204"/>
    </font>
    <font>
      <b/>
      <sz val="7"/>
      <color theme="1"/>
      <name val="Sylfaen"/>
      <family val="1"/>
      <charset val="204"/>
    </font>
    <font>
      <b/>
      <sz val="8"/>
      <color theme="1"/>
      <name val="Sylfaen"/>
      <family val="1"/>
      <charset val="204"/>
    </font>
    <font>
      <sz val="8"/>
      <color theme="1"/>
      <name val="Sylfaen"/>
      <family val="1"/>
      <charset val="204"/>
    </font>
    <font>
      <b/>
      <sz val="8"/>
      <name val="Sylfaen"/>
      <family val="1"/>
      <charset val="204"/>
    </font>
    <font>
      <sz val="8"/>
      <name val="Sylfaen"/>
      <family val="1"/>
    </font>
    <font>
      <sz val="8"/>
      <color theme="1"/>
      <name val="Sylfaen"/>
      <family val="1"/>
    </font>
    <font>
      <sz val="8"/>
      <name val="Sylfaen"/>
      <family val="1"/>
      <charset val="204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"/>
      <family val="2"/>
      <charset val="204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0"/>
      <name val="AcadNusx"/>
    </font>
    <font>
      <sz val="9"/>
      <name val="AcadNusx"/>
    </font>
    <font>
      <b/>
      <sz val="9"/>
      <name val="AcadNusx"/>
    </font>
    <font>
      <b/>
      <sz val="9"/>
      <name val="AcadMtavr"/>
    </font>
    <font>
      <b/>
      <sz val="10"/>
      <name val="AcadMtavr"/>
    </font>
    <font>
      <i/>
      <sz val="9"/>
      <name val="AcadNusx"/>
    </font>
    <font>
      <sz val="10"/>
      <name val="AcadNusx"/>
    </font>
    <font>
      <sz val="10"/>
      <name val="LitNusx"/>
      <family val="2"/>
    </font>
    <font>
      <b/>
      <sz val="10"/>
      <name val="LitNusx"/>
      <family val="2"/>
    </font>
    <font>
      <sz val="10"/>
      <name val="Times New Roman"/>
      <family val="1"/>
      <charset val="204"/>
    </font>
    <font>
      <sz val="10"/>
      <name val="Sylfaen"/>
      <family val="1"/>
      <charset val="204"/>
    </font>
    <font>
      <b/>
      <sz val="10"/>
      <name val="Sylfaen"/>
      <family val="1"/>
      <charset val="204"/>
    </font>
    <font>
      <sz val="10"/>
      <name val="AcadMtavr"/>
    </font>
    <font>
      <b/>
      <sz val="11"/>
      <name val="AcadNusx"/>
    </font>
    <font>
      <b/>
      <i/>
      <sz val="9"/>
      <name val="AcadNusx"/>
    </font>
    <font>
      <b/>
      <sz val="9"/>
      <name val="Sylfaen"/>
      <family val="1"/>
      <charset val="204"/>
    </font>
    <font>
      <sz val="9"/>
      <name val="AcadMtavr"/>
    </font>
    <font>
      <b/>
      <sz val="10"/>
      <name val="Copperplate Gothic Bold"/>
      <family val="2"/>
    </font>
    <font>
      <sz val="9"/>
      <name val="LitNusx"/>
      <family val="2"/>
    </font>
    <font>
      <b/>
      <sz val="9"/>
      <name val="LitNusx"/>
      <family val="2"/>
    </font>
    <font>
      <sz val="9"/>
      <name val="Calibri"/>
      <family val="2"/>
      <charset val="204"/>
      <scheme val="minor"/>
    </font>
    <font>
      <b/>
      <sz val="9"/>
      <name val="Calibri"/>
      <family val="2"/>
      <scheme val="minor"/>
    </font>
    <font>
      <b/>
      <sz val="9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GEO DUMBADZE"/>
      <family val="2"/>
    </font>
    <font>
      <sz val="8"/>
      <color theme="1"/>
      <name val="Calibri"/>
      <family val="2"/>
      <scheme val="minor"/>
    </font>
    <font>
      <sz val="7"/>
      <color theme="1"/>
      <name val="Sylfaen"/>
      <family val="1"/>
      <charset val="204"/>
    </font>
    <font>
      <b/>
      <sz val="7"/>
      <color rgb="FF000000"/>
      <name val="Sylfaen"/>
      <family val="1"/>
      <charset val="204"/>
    </font>
    <font>
      <sz val="7"/>
      <color rgb="FFFF0000"/>
      <name val="Sylfaen"/>
      <family val="1"/>
      <charset val="204"/>
    </font>
    <font>
      <b/>
      <sz val="7"/>
      <name val="Sylfaen"/>
      <family val="1"/>
      <charset val="204"/>
    </font>
    <font>
      <sz val="7"/>
      <color rgb="FF000000"/>
      <name val="Sylfaen"/>
      <family val="1"/>
      <charset val="204"/>
    </font>
    <font>
      <sz val="7"/>
      <name val="Sylfaen"/>
      <family val="1"/>
      <charset val="204"/>
    </font>
    <font>
      <b/>
      <i/>
      <sz val="7"/>
      <color theme="1"/>
      <name val="Sylfaen"/>
      <family val="1"/>
      <charset val="204"/>
    </font>
    <font>
      <sz val="12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i/>
      <u/>
      <sz val="12"/>
      <color theme="1"/>
      <name val="Sylfaen"/>
      <family val="1"/>
    </font>
    <font>
      <b/>
      <sz val="9"/>
      <color theme="3" tint="-0.249977111117893"/>
      <name val="Sylfaen"/>
      <family val="1"/>
      <charset val="204"/>
    </font>
    <font>
      <b/>
      <sz val="9"/>
      <color rgb="FFFF0000"/>
      <name val="Sylfaen"/>
      <family val="1"/>
      <charset val="204"/>
    </font>
    <font>
      <b/>
      <sz val="10"/>
      <color theme="3"/>
      <name val="Sylfaen"/>
      <family val="1"/>
      <charset val="204"/>
    </font>
    <font>
      <b/>
      <sz val="11"/>
      <color rgb="FF000000"/>
      <name val="Sylfaen"/>
      <family val="1"/>
      <charset val="204"/>
    </font>
    <font>
      <b/>
      <sz val="10"/>
      <color theme="3" tint="-0.249977111117893"/>
      <name val="Sylfaen"/>
      <family val="1"/>
      <charset val="204"/>
    </font>
    <font>
      <b/>
      <sz val="10"/>
      <color theme="4" tint="-0.499984740745262"/>
      <name val="Sylfaen"/>
      <family val="1"/>
      <charset val="204"/>
    </font>
    <font>
      <b/>
      <sz val="11"/>
      <color theme="3"/>
      <name val="Calibri"/>
      <family val="2"/>
      <charset val="204"/>
      <scheme val="minor"/>
    </font>
    <font>
      <sz val="11"/>
      <color theme="3"/>
      <name val="Calibri"/>
      <family val="2"/>
      <scheme val="minor"/>
    </font>
    <font>
      <b/>
      <sz val="10"/>
      <color theme="3"/>
      <name val="Calibri"/>
      <family val="2"/>
      <charset val="204"/>
      <scheme val="minor"/>
    </font>
    <font>
      <b/>
      <sz val="11"/>
      <color theme="3"/>
      <name val="Sylfaen"/>
      <family val="1"/>
      <charset val="204"/>
    </font>
    <font>
      <b/>
      <sz val="10"/>
      <color theme="3" tint="-0.249977111117893"/>
      <name val="Calibri"/>
      <family val="2"/>
      <charset val="204"/>
    </font>
    <font>
      <b/>
      <sz val="9"/>
      <color theme="3"/>
      <name val="Sylfaen"/>
      <family val="1"/>
      <charset val="204"/>
    </font>
    <font>
      <sz val="11"/>
      <color theme="3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b/>
      <sz val="11"/>
      <color rgb="FFC00000"/>
      <name val="AcadNusx"/>
    </font>
    <font>
      <sz val="10"/>
      <color theme="1"/>
      <name val="Broadway"/>
      <family val="5"/>
    </font>
    <font>
      <sz val="10"/>
      <color theme="1"/>
      <name val="AcadNusx"/>
    </font>
    <font>
      <sz val="9"/>
      <color rgb="FFC00000"/>
      <name val="AcadNusx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5" tint="0.80001220740379042"/>
        </stop>
      </gradient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/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-0.2499465926084170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38">
    <xf numFmtId="0" fontId="0" fillId="0" borderId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7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5" fillId="0" borderId="0"/>
    <xf numFmtId="0" fontId="32" fillId="0" borderId="0">
      <alignment wrapText="1"/>
    </xf>
    <xf numFmtId="0" fontId="7" fillId="0" borderId="0"/>
    <xf numFmtId="43" fontId="2" fillId="0" borderId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65" fillId="14" borderId="0" applyNumberFormat="0" applyBorder="0" applyAlignment="0" applyProtection="0"/>
    <xf numFmtId="0" fontId="65" fillId="13" borderId="0" applyNumberFormat="0" applyBorder="0" applyAlignment="0" applyProtection="0"/>
    <xf numFmtId="0" fontId="65" fillId="15" borderId="0" applyNumberFormat="0" applyBorder="0" applyAlignment="0" applyProtection="0"/>
    <xf numFmtId="0" fontId="65" fillId="16" borderId="0" applyNumberFormat="0" applyBorder="0" applyAlignment="0" applyProtection="0"/>
    <xf numFmtId="0" fontId="63" fillId="11" borderId="0" applyNumberFormat="0" applyBorder="0" applyAlignment="0" applyProtection="0"/>
    <xf numFmtId="166" fontId="7" fillId="0" borderId="0" applyFont="0" applyFill="0" applyBorder="0" applyAlignment="0" applyProtection="0"/>
    <xf numFmtId="0" fontId="62" fillId="9" borderId="0" applyNumberFormat="0" applyBorder="0" applyAlignment="0" applyProtection="0"/>
    <xf numFmtId="0" fontId="64" fillId="12" borderId="0" applyNumberFormat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66" fillId="0" borderId="0"/>
    <xf numFmtId="0" fontId="7" fillId="0" borderId="0"/>
    <xf numFmtId="0" fontId="1" fillId="0" borderId="0"/>
    <xf numFmtId="166" fontId="1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278">
    <xf numFmtId="0" fontId="0" fillId="0" borderId="0" xfId="0"/>
    <xf numFmtId="0" fontId="6" fillId="3" borderId="0" xfId="0" applyFont="1" applyFill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65" fontId="13" fillId="0" borderId="2" xfId="0" applyNumberFormat="1" applyFont="1" applyFill="1" applyBorder="1" applyAlignment="1">
      <alignment horizontal="center" vertical="center" wrapText="1"/>
    </xf>
    <xf numFmtId="49" fontId="6" fillId="6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165" fontId="13" fillId="2" borderId="2" xfId="0" applyNumberFormat="1" applyFont="1" applyFill="1" applyBorder="1" applyAlignment="1">
      <alignment horizontal="center" vertical="center" wrapText="1"/>
    </xf>
    <xf numFmtId="165" fontId="14" fillId="2" borderId="2" xfId="0" applyNumberFormat="1" applyFont="1" applyFill="1" applyBorder="1" applyAlignment="1">
      <alignment horizontal="center" vertical="center" wrapText="1"/>
    </xf>
    <xf numFmtId="0" fontId="6" fillId="6" borderId="0" xfId="0" applyFont="1" applyFill="1" applyAlignment="1">
      <alignment vertical="center" wrapText="1"/>
    </xf>
    <xf numFmtId="165" fontId="14" fillId="0" borderId="2" xfId="0" applyNumberFormat="1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vertical="center" wrapText="1"/>
    </xf>
    <xf numFmtId="165" fontId="13" fillId="3" borderId="2" xfId="0" applyNumberFormat="1" applyFont="1" applyFill="1" applyBorder="1" applyAlignment="1">
      <alignment horizontal="center" vertical="center" wrapText="1"/>
    </xf>
    <xf numFmtId="165" fontId="14" fillId="3" borderId="2" xfId="0" applyNumberFormat="1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 wrapText="1"/>
    </xf>
    <xf numFmtId="49" fontId="15" fillId="7" borderId="2" xfId="0" applyNumberFormat="1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vertical="center" wrapText="1"/>
    </xf>
    <xf numFmtId="165" fontId="13" fillId="7" borderId="2" xfId="0" applyNumberFormat="1" applyFont="1" applyFill="1" applyBorder="1" applyAlignment="1">
      <alignment horizontal="center" vertical="center" wrapText="1"/>
    </xf>
    <xf numFmtId="165" fontId="14" fillId="7" borderId="2" xfId="0" applyNumberFormat="1" applyFont="1" applyFill="1" applyBorder="1" applyAlignment="1">
      <alignment horizontal="center" vertical="center" wrapText="1"/>
    </xf>
    <xf numFmtId="49" fontId="6" fillId="6" borderId="0" xfId="0" applyNumberFormat="1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49" fontId="18" fillId="5" borderId="2" xfId="0" applyNumberFormat="1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vertical="center" wrapText="1"/>
    </xf>
    <xf numFmtId="0" fontId="20" fillId="8" borderId="2" xfId="0" applyFont="1" applyFill="1" applyBorder="1" applyAlignment="1">
      <alignment vertical="center" wrapText="1"/>
    </xf>
    <xf numFmtId="0" fontId="6" fillId="8" borderId="0" xfId="0" applyFont="1" applyFill="1" applyAlignment="1">
      <alignment vertical="center" wrapText="1"/>
    </xf>
    <xf numFmtId="165" fontId="17" fillId="5" borderId="4" xfId="0" applyNumberFormat="1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165" fontId="17" fillId="5" borderId="0" xfId="0" applyNumberFormat="1" applyFont="1" applyFill="1" applyBorder="1" applyAlignment="1">
      <alignment horizontal="center" vertical="center" wrapText="1"/>
    </xf>
    <xf numFmtId="165" fontId="14" fillId="7" borderId="0" xfId="0" applyNumberFormat="1" applyFont="1" applyFill="1" applyBorder="1" applyAlignment="1">
      <alignment horizontal="center" vertical="center" wrapText="1"/>
    </xf>
    <xf numFmtId="165" fontId="13" fillId="3" borderId="0" xfId="0" applyNumberFormat="1" applyFont="1" applyFill="1" applyBorder="1" applyAlignment="1">
      <alignment horizontal="center" vertical="center" wrapText="1"/>
    </xf>
    <xf numFmtId="165" fontId="14" fillId="3" borderId="0" xfId="0" applyNumberFormat="1" applyFont="1" applyFill="1" applyBorder="1" applyAlignment="1">
      <alignment horizontal="center" vertical="center" wrapText="1"/>
    </xf>
    <xf numFmtId="165" fontId="14" fillId="2" borderId="0" xfId="0" applyNumberFormat="1" applyFont="1" applyFill="1" applyBorder="1" applyAlignment="1">
      <alignment horizontal="center" vertical="center" wrapText="1"/>
    </xf>
    <xf numFmtId="165" fontId="14" fillId="8" borderId="0" xfId="0" applyNumberFormat="1" applyFont="1" applyFill="1" applyBorder="1" applyAlignment="1">
      <alignment horizontal="center" vertical="center" wrapText="1"/>
    </xf>
    <xf numFmtId="165" fontId="14" fillId="0" borderId="0" xfId="0" applyNumberFormat="1" applyFont="1" applyFill="1" applyBorder="1" applyAlignment="1">
      <alignment horizontal="center" vertical="center" wrapText="1"/>
    </xf>
    <xf numFmtId="165" fontId="13" fillId="7" borderId="0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1" fillId="3" borderId="8" xfId="2" applyNumberFormat="1" applyFont="1" applyFill="1" applyBorder="1" applyAlignment="1">
      <alignment horizontal="center" vertical="center" wrapText="1"/>
    </xf>
    <xf numFmtId="49" fontId="21" fillId="0" borderId="8" xfId="2" applyNumberFormat="1" applyFont="1" applyFill="1" applyBorder="1" applyAlignment="1">
      <alignment horizontal="center" vertical="center" wrapText="1"/>
    </xf>
    <xf numFmtId="164" fontId="21" fillId="0" borderId="8" xfId="2" applyFont="1" applyFill="1" applyBorder="1" applyAlignment="1">
      <alignment horizontal="center" vertical="center" wrapText="1"/>
    </xf>
    <xf numFmtId="164" fontId="21" fillId="3" borderId="8" xfId="2" applyFont="1" applyFill="1" applyBorder="1" applyAlignment="1">
      <alignment horizontal="center" vertical="center" wrapText="1"/>
    </xf>
    <xf numFmtId="49" fontId="21" fillId="3" borderId="0" xfId="0" applyNumberFormat="1" applyFont="1" applyFill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164" fontId="23" fillId="0" borderId="8" xfId="2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 wrapText="1"/>
    </xf>
    <xf numFmtId="164" fontId="23" fillId="0" borderId="8" xfId="2" applyFont="1" applyFill="1" applyBorder="1" applyAlignment="1">
      <alignment horizontal="center" vertical="center" wrapText="1"/>
    </xf>
    <xf numFmtId="164" fontId="23" fillId="0" borderId="8" xfId="2" applyFont="1" applyBorder="1" applyAlignment="1">
      <alignment horizontal="center" vertical="center"/>
    </xf>
    <xf numFmtId="0" fontId="23" fillId="3" borderId="0" xfId="0" applyFont="1" applyFill="1" applyAlignment="1">
      <alignment horizontal="center" vertical="center" wrapText="1"/>
    </xf>
    <xf numFmtId="164" fontId="23" fillId="3" borderId="8" xfId="2" applyFont="1" applyFill="1" applyBorder="1" applyAlignment="1">
      <alignment horizontal="center" vertical="center" wrapText="1"/>
    </xf>
    <xf numFmtId="164" fontId="25" fillId="0" borderId="8" xfId="2" applyFont="1" applyFill="1" applyBorder="1" applyAlignment="1" applyProtection="1">
      <alignment horizontal="center" vertical="center" wrapText="1"/>
    </xf>
    <xf numFmtId="0" fontId="26" fillId="3" borderId="0" xfId="0" applyFont="1" applyFill="1" applyAlignment="1">
      <alignment horizontal="center" vertical="center" wrapText="1"/>
    </xf>
    <xf numFmtId="164" fontId="24" fillId="0" borderId="8" xfId="2" applyFont="1" applyFill="1" applyBorder="1" applyAlignment="1">
      <alignment horizontal="center" vertical="center" wrapText="1"/>
    </xf>
    <xf numFmtId="164" fontId="27" fillId="0" borderId="8" xfId="2" applyFont="1" applyFill="1" applyBorder="1" applyAlignment="1">
      <alignment horizontal="center" vertical="center" wrapText="1"/>
    </xf>
    <xf numFmtId="164" fontId="27" fillId="0" borderId="8" xfId="2" applyFont="1" applyFill="1" applyBorder="1" applyAlignment="1">
      <alignment horizontal="center" vertical="center"/>
    </xf>
    <xf numFmtId="164" fontId="23" fillId="0" borderId="8" xfId="2" applyFont="1" applyFill="1" applyBorder="1" applyAlignment="1">
      <alignment vertical="center"/>
    </xf>
    <xf numFmtId="4" fontId="56" fillId="3" borderId="8" xfId="11" applyNumberFormat="1" applyFont="1" applyFill="1" applyBorder="1" applyAlignment="1" applyProtection="1">
      <alignment horizontal="center" vertical="center" wrapText="1"/>
    </xf>
    <xf numFmtId="4" fontId="57" fillId="3" borderId="8" xfId="11" applyNumberFormat="1" applyFont="1" applyFill="1" applyBorder="1" applyAlignment="1" applyProtection="1">
      <alignment horizontal="center" vertical="center" wrapText="1"/>
    </xf>
    <xf numFmtId="0" fontId="42" fillId="3" borderId="8" xfId="11" applyFont="1" applyFill="1" applyBorder="1" applyAlignment="1">
      <alignment horizontal="left" vertical="center" wrapText="1"/>
    </xf>
    <xf numFmtId="4" fontId="56" fillId="3" borderId="15" xfId="11" applyNumberFormat="1" applyFont="1" applyFill="1" applyBorder="1" applyAlignment="1" applyProtection="1">
      <alignment horizontal="center" vertical="center" wrapText="1"/>
    </xf>
    <xf numFmtId="0" fontId="42" fillId="3" borderId="8" xfId="11" applyFont="1" applyFill="1" applyBorder="1" applyAlignment="1">
      <alignment horizontal="left" vertical="top" wrapText="1"/>
    </xf>
    <xf numFmtId="0" fontId="42" fillId="3" borderId="8" xfId="11" applyFont="1" applyFill="1" applyBorder="1" applyAlignment="1">
      <alignment vertical="top" wrapText="1"/>
    </xf>
    <xf numFmtId="4" fontId="56" fillId="0" borderId="8" xfId="11" applyNumberFormat="1" applyFont="1" applyFill="1" applyBorder="1" applyAlignment="1" applyProtection="1">
      <alignment horizontal="center" vertical="center" wrapText="1"/>
    </xf>
    <xf numFmtId="4" fontId="56" fillId="0" borderId="15" xfId="11" applyNumberFormat="1" applyFont="1" applyFill="1" applyBorder="1" applyAlignment="1" applyProtection="1">
      <alignment horizontal="center" vertical="center" wrapText="1"/>
    </xf>
    <xf numFmtId="0" fontId="42" fillId="0" borderId="8" xfId="11" applyFont="1" applyFill="1" applyBorder="1" applyAlignment="1">
      <alignment horizontal="left" vertical="center" wrapText="1"/>
    </xf>
    <xf numFmtId="0" fontId="42" fillId="0" borderId="8" xfId="11" applyFont="1" applyFill="1" applyBorder="1" applyAlignment="1">
      <alignment horizontal="left" vertical="top" wrapText="1"/>
    </xf>
    <xf numFmtId="0" fontId="3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6" borderId="0" xfId="0" applyNumberFormat="1" applyFont="1" applyFill="1" applyBorder="1" applyAlignment="1">
      <alignment horizontal="center" vertical="center" wrapText="1"/>
    </xf>
    <xf numFmtId="43" fontId="1" fillId="0" borderId="8" xfId="12" applyFont="1" applyBorder="1"/>
    <xf numFmtId="0" fontId="1" fillId="0" borderId="0" xfId="3"/>
    <xf numFmtId="0" fontId="1" fillId="0" borderId="8" xfId="3" applyBorder="1"/>
    <xf numFmtId="0" fontId="1" fillId="3" borderId="8" xfId="3" applyFill="1" applyBorder="1"/>
    <xf numFmtId="0" fontId="33" fillId="0" borderId="8" xfId="3" applyFont="1" applyFill="1" applyBorder="1"/>
    <xf numFmtId="0" fontId="1" fillId="8" borderId="8" xfId="3" applyFill="1" applyBorder="1"/>
    <xf numFmtId="0" fontId="1" fillId="8" borderId="8" xfId="3" applyFill="1" applyBorder="1" applyAlignment="1">
      <alignment wrapText="1"/>
    </xf>
    <xf numFmtId="0" fontId="33" fillId="8" borderId="8" xfId="3" applyFont="1" applyFill="1" applyBorder="1"/>
    <xf numFmtId="0" fontId="1" fillId="7" borderId="8" xfId="3" applyFill="1" applyBorder="1"/>
    <xf numFmtId="164" fontId="68" fillId="3" borderId="8" xfId="2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vertical="top" wrapText="1"/>
    </xf>
    <xf numFmtId="164" fontId="69" fillId="10" borderId="8" xfId="2" applyNumberFormat="1" applyFont="1" applyFill="1" applyBorder="1" applyAlignment="1">
      <alignment vertical="top" wrapText="1"/>
    </xf>
    <xf numFmtId="164" fontId="69" fillId="10" borderId="8" xfId="2" applyNumberFormat="1" applyFont="1" applyFill="1" applyBorder="1" applyAlignment="1">
      <alignment horizontal="center" vertical="center" wrapText="1"/>
    </xf>
    <xf numFmtId="164" fontId="21" fillId="10" borderId="8" xfId="2" applyFont="1" applyFill="1" applyBorder="1" applyAlignment="1">
      <alignment horizontal="center" vertical="center" wrapText="1"/>
    </xf>
    <xf numFmtId="164" fontId="21" fillId="10" borderId="8" xfId="2" applyFont="1" applyFill="1" applyBorder="1" applyAlignment="1">
      <alignment horizontal="center" vertical="center"/>
    </xf>
    <xf numFmtId="164" fontId="21" fillId="3" borderId="8" xfId="0" applyNumberFormat="1" applyFont="1" applyFill="1" applyBorder="1" applyAlignment="1">
      <alignment horizontal="center" vertical="center" wrapText="1"/>
    </xf>
    <xf numFmtId="164" fontId="21" fillId="17" borderId="8" xfId="0" applyNumberFormat="1" applyFont="1" applyFill="1" applyBorder="1" applyAlignment="1">
      <alignment horizontal="center" vertical="center" wrapText="1"/>
    </xf>
    <xf numFmtId="0" fontId="21" fillId="3" borderId="0" xfId="0" applyFont="1" applyFill="1" applyAlignment="1">
      <alignment horizontal="center" vertical="center" wrapText="1"/>
    </xf>
    <xf numFmtId="164" fontId="69" fillId="0" borderId="8" xfId="2" applyNumberFormat="1" applyFont="1" applyFill="1" applyBorder="1" applyAlignment="1">
      <alignment vertical="top" wrapText="1"/>
    </xf>
    <xf numFmtId="164" fontId="69" fillId="0" borderId="8" xfId="2" applyNumberFormat="1" applyFont="1" applyFill="1" applyBorder="1" applyAlignment="1">
      <alignment horizontal="center" vertical="center" wrapText="1"/>
    </xf>
    <xf numFmtId="164" fontId="68" fillId="0" borderId="8" xfId="2" applyFont="1" applyFill="1" applyBorder="1" applyAlignment="1">
      <alignment horizontal="center" vertical="center"/>
    </xf>
    <xf numFmtId="164" fontId="70" fillId="0" borderId="8" xfId="2" applyFont="1" applyFill="1" applyBorder="1" applyAlignment="1">
      <alignment horizontal="center" vertical="center"/>
    </xf>
    <xf numFmtId="164" fontId="68" fillId="0" borderId="8" xfId="2" applyFont="1" applyFill="1" applyBorder="1" applyAlignment="1">
      <alignment horizontal="center" vertical="center" wrapText="1"/>
    </xf>
    <xf numFmtId="0" fontId="68" fillId="0" borderId="0" xfId="0" applyFont="1" applyFill="1" applyAlignment="1">
      <alignment horizontal="center" vertical="center" wrapText="1"/>
    </xf>
    <xf numFmtId="164" fontId="71" fillId="10" borderId="8" xfId="2" applyFont="1" applyFill="1" applyBorder="1" applyAlignment="1">
      <alignment horizontal="center" vertical="center" wrapText="1"/>
    </xf>
    <xf numFmtId="164" fontId="72" fillId="3" borderId="8" xfId="2" applyNumberFormat="1" applyFont="1" applyFill="1" applyBorder="1" applyAlignment="1">
      <alignment vertical="top" wrapText="1"/>
    </xf>
    <xf numFmtId="164" fontId="72" fillId="3" borderId="8" xfId="2" applyNumberFormat="1" applyFont="1" applyFill="1" applyBorder="1" applyAlignment="1">
      <alignment horizontal="center" vertical="center" wrapText="1"/>
    </xf>
    <xf numFmtId="164" fontId="71" fillId="0" borderId="8" xfId="2" applyFont="1" applyFill="1" applyBorder="1" applyAlignment="1" applyProtection="1">
      <alignment horizontal="center" vertical="center" wrapText="1"/>
    </xf>
    <xf numFmtId="164" fontId="68" fillId="0" borderId="8" xfId="2" applyFont="1" applyBorder="1" applyAlignment="1">
      <alignment horizontal="center" vertical="center"/>
    </xf>
    <xf numFmtId="0" fontId="68" fillId="3" borderId="0" xfId="0" applyFont="1" applyFill="1" applyAlignment="1">
      <alignment horizontal="center" vertical="center" wrapText="1"/>
    </xf>
    <xf numFmtId="164" fontId="22" fillId="3" borderId="8" xfId="0" applyNumberFormat="1" applyFont="1" applyFill="1" applyBorder="1" applyAlignment="1">
      <alignment horizontal="center" vertical="center" wrapText="1"/>
    </xf>
    <xf numFmtId="164" fontId="21" fillId="0" borderId="8" xfId="2" applyFont="1" applyBorder="1" applyAlignment="1">
      <alignment horizontal="center" vertical="center"/>
    </xf>
    <xf numFmtId="164" fontId="72" fillId="0" borderId="8" xfId="2" applyNumberFormat="1" applyFont="1" applyFill="1" applyBorder="1" applyAlignment="1">
      <alignment vertical="top" wrapText="1"/>
    </xf>
    <xf numFmtId="164" fontId="72" fillId="0" borderId="8" xfId="2" applyNumberFormat="1" applyFont="1" applyFill="1" applyBorder="1" applyAlignment="1">
      <alignment horizontal="center" vertical="center" wrapText="1"/>
    </xf>
    <xf numFmtId="164" fontId="70" fillId="0" borderId="8" xfId="2" applyFont="1" applyFill="1" applyBorder="1" applyAlignment="1">
      <alignment horizontal="center" vertical="center" wrapText="1"/>
    </xf>
    <xf numFmtId="4" fontId="67" fillId="0" borderId="8" xfId="0" applyNumberFormat="1" applyFont="1" applyFill="1" applyBorder="1" applyAlignment="1">
      <alignment vertical="center"/>
    </xf>
    <xf numFmtId="164" fontId="73" fillId="0" borderId="8" xfId="2" applyFont="1" applyFill="1" applyBorder="1" applyAlignment="1" applyProtection="1">
      <alignment horizontal="center" vertical="center" wrapText="1"/>
    </xf>
    <xf numFmtId="164" fontId="71" fillId="0" borderId="8" xfId="2" applyFont="1" applyFill="1" applyBorder="1" applyAlignment="1">
      <alignment horizontal="center" vertical="center" wrapText="1"/>
    </xf>
    <xf numFmtId="164" fontId="71" fillId="10" borderId="8" xfId="2" applyFont="1" applyFill="1" applyBorder="1" applyAlignment="1" applyProtection="1">
      <alignment horizontal="center" vertical="center" wrapText="1"/>
    </xf>
    <xf numFmtId="164" fontId="68" fillId="10" borderId="8" xfId="2" applyFont="1" applyFill="1" applyBorder="1" applyAlignment="1">
      <alignment horizontal="center" vertical="center"/>
    </xf>
    <xf numFmtId="164" fontId="73" fillId="0" borderId="8" xfId="2" applyFont="1" applyFill="1" applyBorder="1" applyAlignment="1">
      <alignment horizontal="center" vertical="center" wrapText="1"/>
    </xf>
    <xf numFmtId="164" fontId="73" fillId="3" borderId="8" xfId="2" applyFont="1" applyFill="1" applyBorder="1" applyAlignment="1" applyProtection="1">
      <alignment horizontal="center" vertical="center" wrapText="1"/>
    </xf>
    <xf numFmtId="164" fontId="73" fillId="0" borderId="8" xfId="2" applyFont="1" applyFill="1" applyBorder="1" applyAlignment="1">
      <alignment horizontal="center" vertical="center"/>
    </xf>
    <xf numFmtId="164" fontId="69" fillId="0" borderId="8" xfId="2" applyFont="1" applyFill="1" applyBorder="1" applyAlignment="1">
      <alignment horizontal="center" vertical="center" wrapText="1"/>
    </xf>
    <xf numFmtId="164" fontId="68" fillId="0" borderId="8" xfId="2" applyFont="1" applyFill="1" applyBorder="1" applyAlignment="1">
      <alignment vertical="center"/>
    </xf>
    <xf numFmtId="164" fontId="23" fillId="0" borderId="17" xfId="2" applyFont="1" applyFill="1" applyBorder="1" applyAlignment="1">
      <alignment vertical="center"/>
    </xf>
    <xf numFmtId="0" fontId="74" fillId="10" borderId="8" xfId="0" applyFont="1" applyFill="1" applyBorder="1" applyAlignment="1">
      <alignment vertical="top" wrapText="1"/>
    </xf>
    <xf numFmtId="164" fontId="21" fillId="10" borderId="8" xfId="0" applyNumberFormat="1" applyFont="1" applyFill="1" applyBorder="1" applyAlignment="1">
      <alignment horizontal="center" vertical="center" wrapText="1"/>
    </xf>
    <xf numFmtId="164" fontId="21" fillId="10" borderId="8" xfId="0" applyNumberFormat="1" applyFont="1" applyFill="1" applyBorder="1" applyAlignment="1">
      <alignment vertical="center" wrapText="1"/>
    </xf>
    <xf numFmtId="0" fontId="68" fillId="3" borderId="8" xfId="0" applyFont="1" applyFill="1" applyBorder="1" applyAlignment="1">
      <alignment vertical="top" wrapText="1"/>
    </xf>
    <xf numFmtId="164" fontId="68" fillId="0" borderId="8" xfId="2" applyFont="1" applyBorder="1" applyAlignment="1">
      <alignment vertical="center"/>
    </xf>
    <xf numFmtId="0" fontId="68" fillId="3" borderId="0" xfId="0" applyFont="1" applyFill="1" applyAlignment="1">
      <alignment vertical="top" wrapText="1"/>
    </xf>
    <xf numFmtId="164" fontId="68" fillId="3" borderId="0" xfId="2" applyFont="1" applyFill="1" applyAlignment="1">
      <alignment horizontal="center" vertical="center" wrapText="1"/>
    </xf>
    <xf numFmtId="164" fontId="68" fillId="0" borderId="0" xfId="2" applyFont="1" applyAlignment="1">
      <alignment horizontal="center" vertical="center"/>
    </xf>
    <xf numFmtId="164" fontId="68" fillId="0" borderId="0" xfId="2" applyFont="1" applyFill="1" applyAlignment="1">
      <alignment horizontal="center" vertical="center"/>
    </xf>
    <xf numFmtId="164" fontId="69" fillId="0" borderId="0" xfId="2" applyNumberFormat="1" applyFont="1" applyFill="1" applyBorder="1" applyAlignment="1">
      <alignment horizontal="left" vertical="center" wrapText="1"/>
    </xf>
    <xf numFmtId="164" fontId="21" fillId="0" borderId="0" xfId="2" applyFont="1" applyFill="1" applyBorder="1" applyAlignment="1">
      <alignment horizontal="center" vertical="center" wrapText="1"/>
    </xf>
    <xf numFmtId="164" fontId="21" fillId="0" borderId="0" xfId="2" applyFont="1" applyFill="1" applyBorder="1" applyAlignment="1">
      <alignment horizontal="center" vertical="center"/>
    </xf>
    <xf numFmtId="164" fontId="72" fillId="0" borderId="0" xfId="2" applyNumberFormat="1" applyFont="1" applyFill="1" applyBorder="1" applyAlignment="1">
      <alignment horizontal="left" vertical="center" wrapText="1"/>
    </xf>
    <xf numFmtId="164" fontId="68" fillId="0" borderId="0" xfId="2" applyFont="1" applyFill="1" applyBorder="1" applyAlignment="1">
      <alignment horizontal="center" vertical="center"/>
    </xf>
    <xf numFmtId="164" fontId="68" fillId="0" borderId="0" xfId="2" applyFont="1" applyFill="1" applyAlignment="1">
      <alignment horizontal="center" vertical="center" wrapText="1"/>
    </xf>
    <xf numFmtId="0" fontId="68" fillId="3" borderId="0" xfId="0" applyFont="1" applyFill="1" applyBorder="1" applyAlignment="1">
      <alignment horizontal="center" vertical="center" wrapText="1"/>
    </xf>
    <xf numFmtId="164" fontId="68" fillId="3" borderId="0" xfId="2" applyFont="1" applyFill="1" applyBorder="1" applyAlignment="1">
      <alignment horizontal="center" vertical="center" wrapText="1"/>
    </xf>
    <xf numFmtId="164" fontId="68" fillId="0" borderId="0" xfId="2" applyFont="1" applyBorder="1" applyAlignment="1">
      <alignment horizontal="center" vertical="center"/>
    </xf>
    <xf numFmtId="43" fontId="1" fillId="8" borderId="8" xfId="12" applyFont="1" applyFill="1" applyBorder="1"/>
    <xf numFmtId="165" fontId="75" fillId="3" borderId="2" xfId="0" applyNumberFormat="1" applyFont="1" applyFill="1" applyBorder="1" applyAlignment="1">
      <alignment horizontal="center" vertical="center" wrapText="1"/>
    </xf>
    <xf numFmtId="4" fontId="1" fillId="7" borderId="8" xfId="3" applyNumberFormat="1" applyFill="1" applyBorder="1"/>
    <xf numFmtId="165" fontId="6" fillId="3" borderId="0" xfId="0" applyNumberFormat="1" applyFont="1" applyFill="1" applyAlignment="1">
      <alignment horizontal="center" vertical="center" wrapText="1"/>
    </xf>
    <xf numFmtId="165" fontId="76" fillId="3" borderId="2" xfId="0" applyNumberFormat="1" applyFont="1" applyFill="1" applyBorder="1" applyAlignment="1">
      <alignment horizontal="center" vertical="center" wrapText="1"/>
    </xf>
    <xf numFmtId="4" fontId="77" fillId="8" borderId="8" xfId="0" applyNumberFormat="1" applyFont="1" applyFill="1" applyBorder="1" applyAlignment="1">
      <alignment horizontal="center" vertical="center"/>
    </xf>
    <xf numFmtId="4" fontId="77" fillId="8" borderId="0" xfId="0" applyNumberFormat="1" applyFont="1" applyFill="1" applyBorder="1" applyAlignment="1">
      <alignment horizontal="center" vertical="center"/>
    </xf>
    <xf numFmtId="165" fontId="14" fillId="3" borderId="23" xfId="0" applyNumberFormat="1" applyFont="1" applyFill="1" applyBorder="1" applyAlignment="1">
      <alignment horizontal="center" vertical="center" wrapText="1"/>
    </xf>
    <xf numFmtId="165" fontId="14" fillId="0" borderId="23" xfId="0" applyNumberFormat="1" applyFont="1" applyFill="1" applyBorder="1" applyAlignment="1">
      <alignment horizontal="center" vertical="center" wrapText="1"/>
    </xf>
    <xf numFmtId="165" fontId="13" fillId="0" borderId="23" xfId="0" applyNumberFormat="1" applyFont="1" applyFill="1" applyBorder="1" applyAlignment="1">
      <alignment horizontal="center" vertical="center" wrapText="1"/>
    </xf>
    <xf numFmtId="165" fontId="14" fillId="3" borderId="24" xfId="0" applyNumberFormat="1" applyFont="1" applyFill="1" applyBorder="1" applyAlignment="1">
      <alignment horizontal="center" vertical="center" wrapText="1"/>
    </xf>
    <xf numFmtId="165" fontId="14" fillId="0" borderId="24" xfId="0" applyNumberFormat="1" applyFont="1" applyFill="1" applyBorder="1" applyAlignment="1">
      <alignment horizontal="center" vertical="center" wrapText="1"/>
    </xf>
    <xf numFmtId="165" fontId="13" fillId="0" borderId="24" xfId="0" applyNumberFormat="1" applyFont="1" applyFill="1" applyBorder="1" applyAlignment="1">
      <alignment horizontal="center" vertical="center" wrapText="1"/>
    </xf>
    <xf numFmtId="165" fontId="14" fillId="2" borderId="3" xfId="0" applyNumberFormat="1" applyFont="1" applyFill="1" applyBorder="1" applyAlignment="1">
      <alignment horizontal="center" vertical="center" wrapText="1"/>
    </xf>
    <xf numFmtId="165" fontId="14" fillId="2" borderId="4" xfId="0" applyNumberFormat="1" applyFont="1" applyFill="1" applyBorder="1" applyAlignment="1">
      <alignment horizontal="center" vertical="center" wrapText="1"/>
    </xf>
    <xf numFmtId="167" fontId="78" fillId="0" borderId="25" xfId="11" applyNumberFormat="1" applyFont="1" applyFill="1" applyBorder="1" applyAlignment="1" applyProtection="1">
      <alignment horizontal="center" vertical="center" wrapText="1"/>
      <protection locked="0"/>
    </xf>
    <xf numFmtId="167" fontId="78" fillId="0" borderId="26" xfId="11" applyNumberFormat="1" applyFont="1" applyFill="1" applyBorder="1" applyAlignment="1" applyProtection="1">
      <alignment horizontal="center" vertical="center" wrapText="1"/>
      <protection locked="0"/>
    </xf>
    <xf numFmtId="167" fontId="78" fillId="0" borderId="26" xfId="11" applyNumberFormat="1" applyFont="1" applyFill="1" applyBorder="1" applyAlignment="1" applyProtection="1">
      <alignment vertical="center" wrapText="1"/>
      <protection locked="0"/>
    </xf>
    <xf numFmtId="167" fontId="79" fillId="0" borderId="27" xfId="11" applyNumberFormat="1" applyFont="1" applyFill="1" applyBorder="1" applyAlignment="1" applyProtection="1">
      <alignment horizontal="center" vertical="center" wrapText="1"/>
      <protection locked="0"/>
    </xf>
    <xf numFmtId="167" fontId="80" fillId="18" borderId="14" xfId="11" applyNumberFormat="1" applyFont="1" applyFill="1" applyBorder="1" applyAlignment="1" applyProtection="1">
      <alignment horizontal="left" vertical="center" wrapText="1" indent="1"/>
      <protection locked="0"/>
    </xf>
    <xf numFmtId="167" fontId="82" fillId="0" borderId="8" xfId="11" applyNumberFormat="1" applyFont="1" applyFill="1" applyBorder="1" applyAlignment="1" applyProtection="1">
      <alignment horizontal="left" vertical="center" wrapText="1" indent="5"/>
      <protection locked="0"/>
    </xf>
    <xf numFmtId="167" fontId="83" fillId="0" borderId="8" xfId="11" applyNumberFormat="1" applyFont="1" applyFill="1" applyBorder="1" applyAlignment="1" applyProtection="1">
      <alignment horizontal="left" vertical="center" wrapText="1" indent="5"/>
      <protection locked="0"/>
    </xf>
    <xf numFmtId="4" fontId="78" fillId="0" borderId="26" xfId="11" applyNumberFormat="1" applyFont="1" applyFill="1" applyBorder="1" applyAlignment="1" applyProtection="1">
      <alignment horizontal="center" vertical="center" wrapText="1"/>
      <protection locked="0"/>
    </xf>
    <xf numFmtId="167" fontId="80" fillId="18" borderId="28" xfId="11" applyNumberFormat="1" applyFont="1" applyFill="1" applyBorder="1" applyAlignment="1" applyProtection="1">
      <alignment horizontal="left" vertical="center" wrapText="1"/>
      <protection locked="0"/>
    </xf>
    <xf numFmtId="168" fontId="84" fillId="18" borderId="14" xfId="2" applyNumberFormat="1" applyFont="1" applyFill="1" applyBorder="1" applyAlignment="1" applyProtection="1">
      <alignment horizontal="center" vertical="center" wrapText="1"/>
      <protection locked="0"/>
    </xf>
    <xf numFmtId="168" fontId="84" fillId="18" borderId="14" xfId="2" applyNumberFormat="1" applyFont="1" applyFill="1" applyBorder="1" applyAlignment="1" applyProtection="1">
      <alignment vertical="center" wrapText="1"/>
      <protection locked="0"/>
    </xf>
    <xf numFmtId="0" fontId="85" fillId="0" borderId="25" xfId="0" applyFont="1" applyBorder="1" applyAlignment="1">
      <alignment horizontal="center"/>
    </xf>
    <xf numFmtId="168" fontId="86" fillId="0" borderId="29" xfId="2" applyNumberFormat="1" applyFont="1" applyFill="1" applyBorder="1" applyAlignment="1" applyProtection="1">
      <alignment horizontal="center" vertical="center" wrapText="1"/>
      <protection locked="0"/>
    </xf>
    <xf numFmtId="168" fontId="86" fillId="0" borderId="30" xfId="2" applyNumberFormat="1" applyFont="1" applyFill="1" applyBorder="1" applyAlignment="1" applyProtection="1">
      <alignment horizontal="center" vertical="center" wrapText="1"/>
      <protection locked="0"/>
    </xf>
    <xf numFmtId="168" fontId="86" fillId="0" borderId="29" xfId="2" applyNumberFormat="1" applyFont="1" applyFill="1" applyBorder="1" applyAlignment="1" applyProtection="1">
      <alignment vertical="center" wrapText="1"/>
      <protection locked="0"/>
    </xf>
    <xf numFmtId="168" fontId="0" fillId="0" borderId="0" xfId="0" applyNumberFormat="1"/>
    <xf numFmtId="167" fontId="87" fillId="18" borderId="14" xfId="11" applyNumberFormat="1" applyFont="1" applyFill="1" applyBorder="1" applyAlignment="1" applyProtection="1">
      <alignment horizontal="left" vertical="center" wrapText="1" indent="1"/>
      <protection locked="0"/>
    </xf>
    <xf numFmtId="168" fontId="86" fillId="0" borderId="30" xfId="2" applyNumberFormat="1" applyFont="1" applyFill="1" applyBorder="1" applyAlignment="1" applyProtection="1">
      <alignment vertical="center" wrapText="1"/>
      <protection locked="0"/>
    </xf>
    <xf numFmtId="0" fontId="85" fillId="0" borderId="25" xfId="0" applyFont="1" applyBorder="1" applyAlignment="1"/>
    <xf numFmtId="167" fontId="82" fillId="18" borderId="8" xfId="11" applyNumberFormat="1" applyFont="1" applyFill="1" applyBorder="1" applyAlignment="1" applyProtection="1">
      <alignment horizontal="left" vertical="center" wrapText="1"/>
      <protection locked="0"/>
    </xf>
    <xf numFmtId="167" fontId="82" fillId="18" borderId="8" xfId="11" applyNumberFormat="1" applyFont="1" applyFill="1" applyBorder="1" applyAlignment="1" applyProtection="1">
      <alignment horizontal="left" vertical="center" wrapText="1" indent="1"/>
      <protection locked="0"/>
    </xf>
    <xf numFmtId="168" fontId="88" fillId="18" borderId="8" xfId="2" applyNumberFormat="1" applyFont="1" applyFill="1" applyBorder="1" applyAlignment="1" applyProtection="1">
      <alignment vertical="center" wrapText="1"/>
      <protection locked="0"/>
    </xf>
    <xf numFmtId="0" fontId="0" fillId="0" borderId="12" xfId="0" applyBorder="1" applyAlignment="1">
      <alignment horizontal="center"/>
    </xf>
    <xf numFmtId="168" fontId="86" fillId="0" borderId="3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33" xfId="0" applyBorder="1" applyAlignment="1">
      <alignment horizontal="center"/>
    </xf>
    <xf numFmtId="168" fontId="86" fillId="0" borderId="10" xfId="2" applyNumberFormat="1" applyFont="1" applyFill="1" applyBorder="1" applyAlignment="1" applyProtection="1">
      <alignment horizontal="center" vertical="center" wrapText="1"/>
      <protection locked="0"/>
    </xf>
    <xf numFmtId="0" fontId="85" fillId="0" borderId="31" xfId="0" applyFont="1" applyBorder="1" applyAlignment="1"/>
    <xf numFmtId="168" fontId="86" fillId="0" borderId="32" xfId="2" applyNumberFormat="1" applyFont="1" applyFill="1" applyBorder="1" applyAlignment="1" applyProtection="1">
      <alignment vertical="center" wrapText="1"/>
      <protection locked="0"/>
    </xf>
    <xf numFmtId="0" fontId="90" fillId="0" borderId="34" xfId="0" applyFont="1" applyFill="1" applyBorder="1" applyAlignment="1">
      <alignment horizontal="center"/>
    </xf>
    <xf numFmtId="0" fontId="90" fillId="0" borderId="34" xfId="0" applyFont="1" applyFill="1" applyBorder="1" applyAlignment="1"/>
    <xf numFmtId="0" fontId="0" fillId="0" borderId="8" xfId="0" applyBorder="1"/>
    <xf numFmtId="168" fontId="86" fillId="0" borderId="12" xfId="2" applyNumberFormat="1" applyFont="1" applyFill="1" applyBorder="1" applyAlignment="1" applyProtection="1">
      <alignment horizontal="center" vertical="center" wrapText="1"/>
      <protection locked="0"/>
    </xf>
    <xf numFmtId="167" fontId="80" fillId="18" borderId="14" xfId="11" applyNumberFormat="1" applyFont="1" applyFill="1" applyBorder="1" applyAlignment="1" applyProtection="1">
      <alignment horizontal="center" vertical="center" wrapText="1"/>
      <protection locked="0"/>
    </xf>
    <xf numFmtId="167" fontId="82" fillId="0" borderId="8" xfId="11" applyNumberFormat="1" applyFont="1" applyFill="1" applyBorder="1" applyAlignment="1" applyProtection="1">
      <alignment horizontal="left" vertical="center" wrapText="1" indent="2"/>
      <protection locked="0"/>
    </xf>
    <xf numFmtId="168" fontId="91" fillId="0" borderId="8" xfId="2" applyNumberFormat="1" applyFont="1" applyBorder="1" applyAlignment="1">
      <alignment vertical="center" wrapText="1"/>
    </xf>
    <xf numFmtId="0" fontId="38" fillId="3" borderId="8" xfId="0" applyFont="1" applyFill="1" applyBorder="1" applyAlignment="1">
      <alignment horizontal="center" vertical="center" wrapText="1"/>
    </xf>
    <xf numFmtId="0" fontId="7" fillId="3" borderId="8" xfId="0" applyFont="1" applyFill="1" applyBorder="1"/>
    <xf numFmtId="0" fontId="49" fillId="3" borderId="8" xfId="0" applyFont="1" applyFill="1" applyBorder="1" applyAlignment="1">
      <alignment horizontal="center" vertical="center" wrapText="1"/>
    </xf>
    <xf numFmtId="0" fontId="92" fillId="3" borderId="8" xfId="0" applyFont="1" applyFill="1" applyBorder="1" applyAlignment="1">
      <alignment horizontal="center" vertical="center" wrapText="1"/>
    </xf>
    <xf numFmtId="0" fontId="37" fillId="3" borderId="0" xfId="0" applyFont="1" applyFill="1"/>
    <xf numFmtId="0" fontId="51" fillId="3" borderId="8" xfId="0" applyFont="1" applyFill="1" applyBorder="1" applyAlignment="1">
      <alignment horizontal="center" vertical="center" wrapText="1"/>
    </xf>
    <xf numFmtId="0" fontId="37" fillId="3" borderId="8" xfId="0" applyFont="1" applyFill="1" applyBorder="1"/>
    <xf numFmtId="0" fontId="58" fillId="3" borderId="8" xfId="0" applyFont="1" applyFill="1" applyBorder="1" applyAlignment="1">
      <alignment horizontal="center" vertical="center" wrapText="1"/>
    </xf>
    <xf numFmtId="0" fontId="59" fillId="3" borderId="8" xfId="0" applyFont="1" applyFill="1" applyBorder="1" applyAlignment="1">
      <alignment horizontal="left" vertical="center" wrapText="1"/>
    </xf>
    <xf numFmtId="4" fontId="39" fillId="3" borderId="8" xfId="0" applyNumberFormat="1" applyFont="1" applyFill="1" applyBorder="1" applyAlignment="1">
      <alignment horizontal="center" vertical="center"/>
    </xf>
    <xf numFmtId="4" fontId="39" fillId="3" borderId="15" xfId="0" applyNumberFormat="1" applyFont="1" applyFill="1" applyBorder="1" applyAlignment="1">
      <alignment horizontal="center" vertical="center"/>
    </xf>
    <xf numFmtId="3" fontId="40" fillId="3" borderId="15" xfId="0" applyNumberFormat="1" applyFont="1" applyFill="1" applyBorder="1" applyAlignment="1">
      <alignment horizontal="center" vertical="center"/>
    </xf>
    <xf numFmtId="4" fontId="39" fillId="3" borderId="8" xfId="0" applyNumberFormat="1" applyFont="1" applyFill="1" applyBorder="1"/>
    <xf numFmtId="0" fontId="39" fillId="3" borderId="0" xfId="0" applyFont="1" applyFill="1"/>
    <xf numFmtId="0" fontId="39" fillId="3" borderId="8" xfId="0" applyFont="1" applyFill="1" applyBorder="1" applyAlignment="1">
      <alignment horizontal="center" vertical="center" wrapText="1"/>
    </xf>
    <xf numFmtId="3" fontId="48" fillId="3" borderId="15" xfId="0" applyNumberFormat="1" applyFont="1" applyFill="1" applyBorder="1" applyAlignment="1">
      <alignment horizontal="center" vertical="center"/>
    </xf>
    <xf numFmtId="4" fontId="40" fillId="3" borderId="8" xfId="0" applyNumberFormat="1" applyFont="1" applyFill="1" applyBorder="1" applyAlignment="1">
      <alignment horizontal="center" vertical="center"/>
    </xf>
    <xf numFmtId="3" fontId="40" fillId="3" borderId="8" xfId="0" applyNumberFormat="1" applyFont="1" applyFill="1" applyBorder="1" applyAlignment="1">
      <alignment horizontal="center" vertical="center"/>
    </xf>
    <xf numFmtId="0" fontId="41" fillId="3" borderId="8" xfId="0" applyFont="1" applyFill="1" applyBorder="1" applyAlignment="1">
      <alignment horizontal="center" vertical="center" wrapText="1"/>
    </xf>
    <xf numFmtId="0" fontId="43" fillId="3" borderId="8" xfId="0" applyFont="1" applyFill="1" applyBorder="1" applyAlignment="1">
      <alignment horizontal="left" vertical="top" wrapText="1"/>
    </xf>
    <xf numFmtId="0" fontId="41" fillId="3" borderId="0" xfId="0" applyFont="1" applyFill="1"/>
    <xf numFmtId="0" fontId="44" fillId="3" borderId="8" xfId="0" applyFont="1" applyFill="1" applyBorder="1" applyAlignment="1">
      <alignment horizontal="left" vertical="center" wrapText="1"/>
    </xf>
    <xf numFmtId="0" fontId="59" fillId="0" borderId="8" xfId="0" applyFont="1" applyFill="1" applyBorder="1" applyAlignment="1">
      <alignment horizontal="left" vertical="center" wrapText="1"/>
    </xf>
    <xf numFmtId="4" fontId="48" fillId="3" borderId="8" xfId="0" applyNumberFormat="1" applyFont="1" applyFill="1" applyBorder="1" applyAlignment="1">
      <alignment horizontal="center" vertical="center"/>
    </xf>
    <xf numFmtId="4" fontId="48" fillId="0" borderId="8" xfId="0" applyNumberFormat="1" applyFont="1" applyFill="1" applyBorder="1" applyAlignment="1">
      <alignment horizontal="center" vertical="center"/>
    </xf>
    <xf numFmtId="0" fontId="37" fillId="3" borderId="8" xfId="0" applyFont="1" applyFill="1" applyBorder="1" applyAlignment="1">
      <alignment horizontal="center" vertical="center" wrapText="1"/>
    </xf>
    <xf numFmtId="0" fontId="53" fillId="3" borderId="8" xfId="11" applyFont="1" applyFill="1" applyBorder="1" applyAlignment="1">
      <alignment horizontal="left" vertical="center" wrapText="1"/>
    </xf>
    <xf numFmtId="0" fontId="50" fillId="3" borderId="0" xfId="0" applyFont="1" applyFill="1"/>
    <xf numFmtId="0" fontId="93" fillId="0" borderId="8" xfId="11" applyFont="1" applyFill="1" applyBorder="1" applyAlignment="1">
      <alignment horizontal="left" vertical="center" wrapText="1"/>
    </xf>
    <xf numFmtId="0" fontId="94" fillId="0" borderId="8" xfId="11" applyFont="1" applyFill="1" applyBorder="1" applyAlignment="1">
      <alignment horizontal="left" vertical="center" wrapText="1"/>
    </xf>
    <xf numFmtId="4" fontId="41" fillId="3" borderId="8" xfId="0" applyNumberFormat="1" applyFont="1" applyFill="1" applyBorder="1" applyAlignment="1">
      <alignment horizontal="center" vertical="center" wrapText="1"/>
    </xf>
    <xf numFmtId="4" fontId="37" fillId="3" borderId="8" xfId="0" applyNumberFormat="1" applyFont="1" applyFill="1" applyBorder="1" applyAlignment="1">
      <alignment horizontal="center" vertical="center" wrapText="1"/>
    </xf>
    <xf numFmtId="4" fontId="38" fillId="3" borderId="8" xfId="0" applyNumberFormat="1" applyFont="1" applyFill="1" applyBorder="1" applyAlignment="1">
      <alignment horizontal="center" vertical="center"/>
    </xf>
    <xf numFmtId="0" fontId="38" fillId="3" borderId="0" xfId="0" applyFont="1" applyFill="1"/>
    <xf numFmtId="0" fontId="43" fillId="3" borderId="8" xfId="0" applyFont="1" applyFill="1" applyBorder="1" applyAlignment="1">
      <alignment horizontal="left" vertical="center" wrapText="1"/>
    </xf>
    <xf numFmtId="0" fontId="50" fillId="3" borderId="8" xfId="0" applyFont="1" applyFill="1" applyBorder="1" applyAlignment="1">
      <alignment horizontal="center" vertical="center" wrapText="1"/>
    </xf>
    <xf numFmtId="0" fontId="59" fillId="3" borderId="8" xfId="0" applyFont="1" applyFill="1" applyBorder="1" applyAlignment="1">
      <alignment horizontal="left" vertical="top" wrapText="1"/>
    </xf>
    <xf numFmtId="0" fontId="54" fillId="3" borderId="8" xfId="0" applyFont="1" applyFill="1" applyBorder="1" applyAlignment="1">
      <alignment horizontal="left" vertical="top" wrapText="1"/>
    </xf>
    <xf numFmtId="3" fontId="52" fillId="3" borderId="15" xfId="0" applyNumberFormat="1" applyFont="1" applyFill="1" applyBorder="1" applyAlignment="1">
      <alignment horizontal="center" vertical="center"/>
    </xf>
    <xf numFmtId="4" fontId="39" fillId="0" borderId="8" xfId="0" applyNumberFormat="1" applyFont="1" applyFill="1" applyBorder="1" applyAlignment="1">
      <alignment horizontal="center" vertical="center"/>
    </xf>
    <xf numFmtId="4" fontId="38" fillId="3" borderId="8" xfId="0" applyNumberFormat="1" applyFont="1" applyFill="1" applyBorder="1" applyAlignment="1">
      <alignment horizontal="center" vertical="center" wrapText="1"/>
    </xf>
    <xf numFmtId="0" fontId="41" fillId="3" borderId="8" xfId="0" applyFont="1" applyFill="1" applyBorder="1"/>
    <xf numFmtId="3" fontId="48" fillId="3" borderId="8" xfId="0" applyNumberFormat="1" applyFont="1" applyFill="1" applyBorder="1" applyAlignment="1">
      <alignment horizontal="center" vertical="center"/>
    </xf>
    <xf numFmtId="3" fontId="48" fillId="0" borderId="15" xfId="0" applyNumberFormat="1" applyFont="1" applyFill="1" applyBorder="1" applyAlignment="1">
      <alignment horizontal="center" vertical="center"/>
    </xf>
    <xf numFmtId="49" fontId="38" fillId="3" borderId="8" xfId="0" applyNumberFormat="1" applyFont="1" applyFill="1" applyBorder="1" applyAlignment="1">
      <alignment horizontal="center" vertical="center"/>
    </xf>
    <xf numFmtId="0" fontId="36" fillId="3" borderId="8" xfId="0" applyFont="1" applyFill="1" applyBorder="1" applyAlignment="1">
      <alignment horizontal="center" vertical="center"/>
    </xf>
    <xf numFmtId="49" fontId="37" fillId="3" borderId="0" xfId="0" applyNumberFormat="1" applyFont="1" applyFill="1" applyAlignment="1">
      <alignment horizontal="center" vertical="center"/>
    </xf>
    <xf numFmtId="0" fontId="37" fillId="3" borderId="0" xfId="0" applyFont="1" applyFill="1" applyAlignment="1">
      <alignment vertical="center"/>
    </xf>
    <xf numFmtId="0" fontId="37" fillId="3" borderId="0" xfId="0" applyFont="1" applyFill="1" applyAlignment="1">
      <alignment horizontal="center" vertical="center"/>
    </xf>
    <xf numFmtId="4" fontId="37" fillId="3" borderId="0" xfId="0" applyNumberFormat="1" applyFont="1" applyFill="1"/>
    <xf numFmtId="0" fontId="95" fillId="3" borderId="0" xfId="0" applyFont="1" applyFill="1"/>
    <xf numFmtId="0" fontId="37" fillId="3" borderId="0" xfId="0" applyFont="1" applyFill="1" applyBorder="1"/>
    <xf numFmtId="4" fontId="40" fillId="3" borderId="0" xfId="0" applyNumberFormat="1" applyFont="1" applyFill="1" applyBorder="1" applyAlignment="1">
      <alignment horizontal="center" vertical="center"/>
    </xf>
    <xf numFmtId="4" fontId="48" fillId="3" borderId="0" xfId="0" applyNumberFormat="1" applyFont="1" applyFill="1" applyBorder="1" applyAlignment="1">
      <alignment horizontal="center" vertical="center"/>
    </xf>
    <xf numFmtId="3" fontId="95" fillId="3" borderId="0" xfId="0" applyNumberFormat="1" applyFont="1" applyFill="1"/>
    <xf numFmtId="0" fontId="12" fillId="4" borderId="8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167" fontId="78" fillId="0" borderId="0" xfId="11" applyNumberFormat="1" applyFont="1" applyFill="1" applyBorder="1" applyAlignment="1" applyProtection="1">
      <alignment horizontal="center" vertical="center" wrapText="1"/>
      <protection locked="0"/>
    </xf>
    <xf numFmtId="167" fontId="78" fillId="0" borderId="22" xfId="11" applyNumberFormat="1" applyFont="1" applyFill="1" applyBorder="1" applyAlignment="1" applyProtection="1">
      <alignment horizontal="center" vertical="center" wrapText="1"/>
      <protection locked="0"/>
    </xf>
    <xf numFmtId="0" fontId="85" fillId="0" borderId="25" xfId="0" applyFont="1" applyBorder="1" applyAlignment="1">
      <alignment horizontal="center"/>
    </xf>
    <xf numFmtId="0" fontId="85" fillId="0" borderId="31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47" fillId="3" borderId="17" xfId="0" applyFont="1" applyFill="1" applyBorder="1" applyAlignment="1">
      <alignment horizontal="center" vertical="center" wrapText="1"/>
    </xf>
    <xf numFmtId="0" fontId="47" fillId="3" borderId="18" xfId="0" applyFont="1" applyFill="1" applyBorder="1" applyAlignment="1">
      <alignment horizontal="center" vertical="center" wrapText="1"/>
    </xf>
    <xf numFmtId="0" fontId="47" fillId="3" borderId="16" xfId="0" applyFont="1" applyFill="1" applyBorder="1" applyAlignment="1">
      <alignment horizontal="center" vertical="center" wrapText="1"/>
    </xf>
    <xf numFmtId="0" fontId="47" fillId="3" borderId="11" xfId="0" applyFont="1" applyFill="1" applyBorder="1" applyAlignment="1">
      <alignment horizontal="center" vertical="center" wrapText="1"/>
    </xf>
    <xf numFmtId="0" fontId="47" fillId="3" borderId="15" xfId="0" applyFont="1" applyFill="1" applyBorder="1" applyAlignment="1">
      <alignment horizontal="center" vertical="center" wrapText="1"/>
    </xf>
    <xf numFmtId="0" fontId="47" fillId="3" borderId="8" xfId="0" applyFont="1" applyFill="1" applyBorder="1" applyAlignment="1">
      <alignment horizontal="center" vertical="center" textRotation="90" wrapText="1"/>
    </xf>
    <xf numFmtId="0" fontId="47" fillId="3" borderId="8" xfId="0" applyFont="1" applyFill="1" applyBorder="1" applyAlignment="1">
      <alignment horizontal="center" vertical="center" wrapText="1"/>
    </xf>
    <xf numFmtId="0" fontId="38" fillId="3" borderId="19" xfId="0" applyFont="1" applyFill="1" applyBorder="1" applyAlignment="1">
      <alignment horizontal="center" vertical="center" wrapText="1"/>
    </xf>
    <xf numFmtId="0" fontId="38" fillId="3" borderId="20" xfId="0" applyFont="1" applyFill="1" applyBorder="1" applyAlignment="1">
      <alignment horizontal="center" vertical="center" wrapText="1"/>
    </xf>
    <xf numFmtId="0" fontId="38" fillId="3" borderId="13" xfId="0" applyFont="1" applyFill="1" applyBorder="1" applyAlignment="1">
      <alignment horizontal="center" vertical="center" wrapText="1"/>
    </xf>
    <xf numFmtId="0" fontId="38" fillId="3" borderId="21" xfId="0" applyFont="1" applyFill="1" applyBorder="1" applyAlignment="1">
      <alignment horizontal="center" vertical="center" wrapText="1"/>
    </xf>
    <xf numFmtId="0" fontId="38" fillId="3" borderId="0" xfId="0" applyFont="1" applyFill="1" applyBorder="1" applyAlignment="1">
      <alignment horizontal="center" vertical="center" wrapText="1"/>
    </xf>
    <xf numFmtId="0" fontId="38" fillId="3" borderId="22" xfId="0" applyFont="1" applyFill="1" applyBorder="1" applyAlignment="1">
      <alignment horizontal="center" vertical="center" wrapText="1"/>
    </xf>
    <xf numFmtId="0" fontId="47" fillId="3" borderId="10" xfId="0" applyFont="1" applyFill="1" applyBorder="1" applyAlignment="1">
      <alignment horizontal="center" vertical="center" wrapText="1"/>
    </xf>
    <xf numFmtId="14" fontId="12" fillId="4" borderId="8" xfId="0" applyNumberFormat="1" applyFont="1" applyFill="1" applyBorder="1" applyAlignment="1">
      <alignment horizontal="center" vertical="center" wrapText="1"/>
    </xf>
    <xf numFmtId="14" fontId="12" fillId="4" borderId="11" xfId="0" applyNumberFormat="1" applyFont="1" applyFill="1" applyBorder="1" applyAlignment="1">
      <alignment horizontal="center" vertical="center" wrapText="1"/>
    </xf>
    <xf numFmtId="14" fontId="12" fillId="4" borderId="10" xfId="0" applyNumberFormat="1" applyFont="1" applyFill="1" applyBorder="1" applyAlignment="1">
      <alignment horizontal="center" vertical="center" wrapText="1"/>
    </xf>
    <xf numFmtId="14" fontId="12" fillId="4" borderId="15" xfId="0" applyNumberFormat="1" applyFont="1" applyFill="1" applyBorder="1" applyAlignment="1">
      <alignment horizontal="center" vertical="center" wrapText="1"/>
    </xf>
    <xf numFmtId="164" fontId="22" fillId="10" borderId="8" xfId="2" applyFont="1" applyFill="1" applyBorder="1" applyAlignment="1">
      <alignment horizontal="center" vertical="center" wrapText="1"/>
    </xf>
    <xf numFmtId="165" fontId="14" fillId="8" borderId="2" xfId="0" applyNumberFormat="1" applyFont="1" applyFill="1" applyBorder="1" applyAlignment="1">
      <alignment horizontal="center" vertical="center" wrapText="1"/>
    </xf>
  </cellXfs>
  <cellStyles count="38">
    <cellStyle name="60% - Accent2 2" xfId="20"/>
    <cellStyle name="Accent1 2" xfId="21"/>
    <cellStyle name="Accent5 2" xfId="22"/>
    <cellStyle name="Accent6 2" xfId="23"/>
    <cellStyle name="Bad 2" xfId="24"/>
    <cellStyle name="Comma" xfId="12" builtinId="3"/>
    <cellStyle name="Comma 2" xfId="1"/>
    <cellStyle name="Comma 2 2" xfId="31"/>
    <cellStyle name="Comma 2 3" xfId="25"/>
    <cellStyle name="Comma 3" xfId="2"/>
    <cellStyle name="Comma 3 2" xfId="30"/>
    <cellStyle name="Comma 4" xfId="8"/>
    <cellStyle name="Comma 4 2" xfId="36"/>
    <cellStyle name="Good 2" xfId="26"/>
    <cellStyle name="Neutral 2" xfId="27"/>
    <cellStyle name="Normal" xfId="0" builtinId="0"/>
    <cellStyle name="Normal 2" xfId="3"/>
    <cellStyle name="Normal 2 2" xfId="4"/>
    <cellStyle name="Normal 2 2 2" xfId="33"/>
    <cellStyle name="Normal 2 2 3" xfId="28"/>
    <cellStyle name="Normal 2 3" xfId="10"/>
    <cellStyle name="Normal 2 3 2" xfId="32"/>
    <cellStyle name="Normal 2 4" xfId="13"/>
    <cellStyle name="Normal 3" xfId="5"/>
    <cellStyle name="Normal 3 2" xfId="14"/>
    <cellStyle name="Normal 4" xfId="6"/>
    <cellStyle name="Normal 4 2" xfId="34"/>
    <cellStyle name="Normal 4 3" xfId="15"/>
    <cellStyle name="Normal 5" xfId="9"/>
    <cellStyle name="Normal 5 2" xfId="16"/>
    <cellStyle name="Normal 6" xfId="17"/>
    <cellStyle name="Normal 7" xfId="18"/>
    <cellStyle name="Normal 7 2" xfId="35"/>
    <cellStyle name="Normal 8" xfId="19"/>
    <cellStyle name="Normal_cxrili 30.12.2008 BOLOOOOO" xfId="11"/>
    <cellStyle name="Percent 2" xfId="7"/>
    <cellStyle name="Percent 2 2" xfId="29"/>
    <cellStyle name="Percent 3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GURAB~1/AppData/Local/Temp/AcceptanceAct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0"/>
    </sheetNames>
    <sheetDataSet>
      <sheetData sheetId="0" refreshError="1">
        <row r="7">
          <cell r="E7">
            <v>164814.13999999998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  <pageSetUpPr fitToPage="1"/>
  </sheetPr>
  <dimension ref="A1:O153"/>
  <sheetViews>
    <sheetView tabSelected="1" view="pageBreakPreview" zoomScale="73" zoomScaleSheetLayoutView="73" workbookViewId="0">
      <pane xSplit="4" ySplit="6" topLeftCell="F7" activePane="bottomRight" state="frozen"/>
      <selection pane="topRight" activeCell="E1" sqref="E1"/>
      <selection pane="bottomLeft" activeCell="A8" sqref="A8"/>
      <selection pane="bottomRight" activeCell="K138" sqref="K138:L138"/>
    </sheetView>
  </sheetViews>
  <sheetFormatPr defaultColWidth="9.140625" defaultRowHeight="15" x14ac:dyDescent="0.25"/>
  <cols>
    <col min="1" max="1" width="4" style="4" hidden="1" customWidth="1"/>
    <col min="2" max="2" width="11.42578125" style="5" customWidth="1"/>
    <col min="3" max="3" width="9.140625" style="5"/>
    <col min="4" max="4" width="77.7109375" style="1" customWidth="1"/>
    <col min="5" max="5" width="21.140625" style="1" customWidth="1"/>
    <col min="6" max="6" width="19.85546875" style="1" customWidth="1"/>
    <col min="7" max="7" width="19.7109375" style="1" hidden="1" customWidth="1"/>
    <col min="8" max="11" width="19.7109375" style="1" customWidth="1"/>
    <col min="12" max="12" width="20.42578125" style="1" customWidth="1"/>
    <col min="13" max="13" width="20.5703125" style="1" customWidth="1"/>
    <col min="14" max="14" width="21.28515625" style="5" customWidth="1"/>
    <col min="15" max="15" width="14.28515625" style="5" customWidth="1"/>
    <col min="16" max="16384" width="9.140625" style="1"/>
  </cols>
  <sheetData>
    <row r="1" spans="1:15" hidden="1" x14ac:dyDescent="0.25"/>
    <row r="3" spans="1:15" x14ac:dyDescent="0.25">
      <c r="D3" s="6" t="s">
        <v>254</v>
      </c>
    </row>
    <row r="4" spans="1:15" ht="15" customHeight="1" x14ac:dyDescent="0.25">
      <c r="A4" s="246"/>
      <c r="B4" s="247" t="s">
        <v>0</v>
      </c>
      <c r="C4" s="247" t="s">
        <v>1</v>
      </c>
      <c r="D4" s="250" t="s">
        <v>2</v>
      </c>
      <c r="E4" s="242" t="s">
        <v>276</v>
      </c>
      <c r="F4" s="242" t="s">
        <v>277</v>
      </c>
      <c r="G4" s="242" t="s">
        <v>278</v>
      </c>
      <c r="H4" s="242" t="s">
        <v>446</v>
      </c>
      <c r="I4" s="242" t="s">
        <v>447</v>
      </c>
      <c r="J4" s="242" t="s">
        <v>444</v>
      </c>
      <c r="K4" s="243" t="s">
        <v>483</v>
      </c>
      <c r="L4" s="242" t="s">
        <v>445</v>
      </c>
      <c r="M4" s="242" t="s">
        <v>280</v>
      </c>
      <c r="N4" s="242" t="s">
        <v>279</v>
      </c>
      <c r="O4" s="31"/>
    </row>
    <row r="5" spans="1:15" x14ac:dyDescent="0.25">
      <c r="A5" s="246"/>
      <c r="B5" s="248"/>
      <c r="C5" s="248"/>
      <c r="D5" s="251"/>
      <c r="E5" s="242"/>
      <c r="F5" s="242"/>
      <c r="G5" s="242"/>
      <c r="H5" s="242"/>
      <c r="I5" s="242"/>
      <c r="J5" s="242"/>
      <c r="K5" s="244"/>
      <c r="L5" s="242"/>
      <c r="M5" s="242"/>
      <c r="N5" s="242"/>
      <c r="O5" s="31"/>
    </row>
    <row r="6" spans="1:15" x14ac:dyDescent="0.25">
      <c r="A6" s="246"/>
      <c r="B6" s="249"/>
      <c r="C6" s="249"/>
      <c r="D6" s="252"/>
      <c r="E6" s="242"/>
      <c r="F6" s="242"/>
      <c r="G6" s="242"/>
      <c r="H6" s="242"/>
      <c r="I6" s="242"/>
      <c r="J6" s="242"/>
      <c r="K6" s="245"/>
      <c r="L6" s="242"/>
      <c r="M6" s="242"/>
      <c r="N6" s="242"/>
      <c r="O6" s="31"/>
    </row>
    <row r="7" spans="1:15" ht="19.5" x14ac:dyDescent="0.25">
      <c r="B7" s="25" t="s">
        <v>5</v>
      </c>
      <c r="C7" s="26"/>
      <c r="D7" s="27" t="s">
        <v>6</v>
      </c>
      <c r="E7" s="30">
        <f>E8+E9+E85</f>
        <v>799775000</v>
      </c>
      <c r="F7" s="30"/>
      <c r="G7" s="30"/>
      <c r="H7" s="30"/>
      <c r="I7" s="30"/>
      <c r="J7" s="30"/>
      <c r="K7" s="30"/>
      <c r="L7" s="30"/>
      <c r="M7" s="30"/>
      <c r="N7" s="30"/>
      <c r="O7" s="32"/>
    </row>
    <row r="8" spans="1:15" ht="18" x14ac:dyDescent="0.25">
      <c r="B8" s="19" t="s">
        <v>7</v>
      </c>
      <c r="C8" s="20"/>
      <c r="D8" s="21" t="s">
        <v>8</v>
      </c>
      <c r="E8" s="22">
        <v>570000000</v>
      </c>
      <c r="F8" s="22"/>
      <c r="G8" s="22"/>
      <c r="H8" s="22"/>
      <c r="I8" s="22"/>
      <c r="J8" s="23"/>
      <c r="K8" s="23"/>
      <c r="L8" s="23"/>
      <c r="M8" s="23"/>
      <c r="N8" s="23"/>
      <c r="O8" s="33"/>
    </row>
    <row r="9" spans="1:15" ht="15.75" x14ac:dyDescent="0.25">
      <c r="B9" s="3" t="s">
        <v>9</v>
      </c>
      <c r="C9" s="7"/>
      <c r="D9" s="2" t="s">
        <v>4</v>
      </c>
      <c r="E9" s="17">
        <f>E10+E15+E20+E26+E30+E31+E32+E46+E56+E67+E74+E80</f>
        <v>83324000</v>
      </c>
      <c r="F9" s="17"/>
      <c r="G9" s="17" t="e">
        <f>G10+G15+G20+G26+G30+G31+G32+G46+G56+G67+G74+G80</f>
        <v>#REF!</v>
      </c>
      <c r="H9" s="17"/>
      <c r="I9" s="17"/>
      <c r="J9" s="17"/>
      <c r="K9" s="17"/>
      <c r="L9" s="17"/>
      <c r="M9" s="17"/>
      <c r="N9" s="17"/>
      <c r="O9" s="34"/>
    </row>
    <row r="10" spans="1:15" ht="21" x14ac:dyDescent="0.25">
      <c r="B10" s="3" t="s">
        <v>10</v>
      </c>
      <c r="C10" s="7"/>
      <c r="D10" s="2" t="s">
        <v>11</v>
      </c>
      <c r="E10" s="17">
        <f>E11+E12+E13+E14</f>
        <v>2000000</v>
      </c>
      <c r="F10" s="18">
        <f>'დაზუსტებული ბიუჯეტი-8,09,16'!M9</f>
        <v>1920000</v>
      </c>
      <c r="G10" s="17">
        <f>G11+G12+G13+G14</f>
        <v>202500</v>
      </c>
      <c r="H10" s="142">
        <v>44710</v>
      </c>
      <c r="I10" s="143">
        <f>F10-H10</f>
        <v>1875290</v>
      </c>
      <c r="J10" s="17">
        <v>1315244</v>
      </c>
      <c r="K10" s="17"/>
      <c r="L10" s="17">
        <v>554046</v>
      </c>
      <c r="M10" s="141">
        <f>J10+L10</f>
        <v>1869290</v>
      </c>
      <c r="N10" s="18">
        <f>I10-M10</f>
        <v>6000</v>
      </c>
      <c r="O10" s="35"/>
    </row>
    <row r="11" spans="1:15" ht="18" x14ac:dyDescent="0.25">
      <c r="B11" s="10"/>
      <c r="C11" s="11" t="s">
        <v>16</v>
      </c>
      <c r="D11" s="16" t="s">
        <v>12</v>
      </c>
      <c r="E11" s="12">
        <v>1346000</v>
      </c>
      <c r="F11" s="12"/>
      <c r="G11" s="12">
        <f>'ნსდს-საკასო სექტემბერ-მოსალოდნე'!G11</f>
        <v>0</v>
      </c>
      <c r="H11" s="12"/>
      <c r="I11" s="12"/>
      <c r="J11" s="12"/>
      <c r="K11" s="12"/>
      <c r="L11" s="12"/>
      <c r="M11" s="12"/>
      <c r="N11" s="13"/>
      <c r="O11" s="36"/>
    </row>
    <row r="12" spans="1:15" ht="18" x14ac:dyDescent="0.25">
      <c r="B12" s="10"/>
      <c r="C12" s="11" t="s">
        <v>16</v>
      </c>
      <c r="D12" s="16" t="s">
        <v>13</v>
      </c>
      <c r="E12" s="12">
        <v>54000</v>
      </c>
      <c r="F12" s="12"/>
      <c r="G12" s="12">
        <f>'ნსდს-საკასო სექტემბერ-მოსალოდნე'!G20</f>
        <v>0</v>
      </c>
      <c r="H12" s="12"/>
      <c r="I12" s="12"/>
      <c r="J12" s="12"/>
      <c r="K12" s="12"/>
      <c r="L12" s="12"/>
      <c r="M12" s="12"/>
      <c r="N12" s="13"/>
      <c r="O12" s="36"/>
    </row>
    <row r="13" spans="1:15" ht="36" x14ac:dyDescent="0.25">
      <c r="B13" s="10"/>
      <c r="C13" s="11" t="s">
        <v>16</v>
      </c>
      <c r="D13" s="16" t="s">
        <v>14</v>
      </c>
      <c r="E13" s="12">
        <v>200000</v>
      </c>
      <c r="F13" s="12"/>
      <c r="G13" s="12">
        <f>'ნსდს-საკასო სექტემბერ-მოსალოდნე'!G23</f>
        <v>202500</v>
      </c>
      <c r="H13" s="12"/>
      <c r="I13" s="12"/>
      <c r="J13" s="12"/>
      <c r="K13" s="12"/>
      <c r="L13" s="12"/>
      <c r="M13" s="12"/>
      <c r="N13" s="13"/>
      <c r="O13" s="36"/>
    </row>
    <row r="14" spans="1:15" ht="18" x14ac:dyDescent="0.25">
      <c r="B14" s="10"/>
      <c r="C14" s="11" t="s">
        <v>16</v>
      </c>
      <c r="D14" s="16" t="s">
        <v>15</v>
      </c>
      <c r="E14" s="12">
        <v>400000</v>
      </c>
      <c r="F14" s="12"/>
      <c r="G14" s="12">
        <f>'ნსდს-საკასო სექტემბერ-მოსალოდნე'!G28</f>
        <v>0</v>
      </c>
      <c r="H14" s="12"/>
      <c r="I14" s="12"/>
      <c r="J14" s="12"/>
      <c r="K14" s="12"/>
      <c r="L14" s="12"/>
      <c r="M14" s="12"/>
      <c r="N14" s="13"/>
      <c r="O14" s="36"/>
    </row>
    <row r="15" spans="1:15" ht="21" x14ac:dyDescent="0.25">
      <c r="B15" s="3" t="s">
        <v>18</v>
      </c>
      <c r="C15" s="7"/>
      <c r="D15" s="2" t="s">
        <v>17</v>
      </c>
      <c r="E15" s="17">
        <f>E16+E17+E18+E19</f>
        <v>14280000</v>
      </c>
      <c r="F15" s="18">
        <f>'დაზუსტებული ბიუჯეტი-8,09,16'!M10</f>
        <v>15410000</v>
      </c>
      <c r="G15" s="17">
        <f>G16+G17+G18+G19</f>
        <v>345430</v>
      </c>
      <c r="H15" s="142">
        <v>46216.5</v>
      </c>
      <c r="I15" s="143">
        <f>F15-H15</f>
        <v>15363783.5</v>
      </c>
      <c r="J15" s="17">
        <v>11851740</v>
      </c>
      <c r="K15" s="17"/>
      <c r="L15" s="17">
        <v>4648043.5</v>
      </c>
      <c r="M15" s="141">
        <f>J15+L15</f>
        <v>16499783.5</v>
      </c>
      <c r="N15" s="18">
        <f>I15-M15</f>
        <v>-1136000</v>
      </c>
      <c r="O15" s="35"/>
    </row>
    <row r="16" spans="1:15" ht="18" x14ac:dyDescent="0.25">
      <c r="B16" s="10"/>
      <c r="C16" s="11" t="s">
        <v>23</v>
      </c>
      <c r="D16" s="16" t="s">
        <v>19</v>
      </c>
      <c r="E16" s="12">
        <v>9800000</v>
      </c>
      <c r="F16" s="12"/>
      <c r="G16" s="13">
        <f>'ნსდს-საკასო სექტემბერ-მოსალოდნე'!G35</f>
        <v>0</v>
      </c>
      <c r="H16" s="13"/>
      <c r="I16" s="13"/>
      <c r="J16" s="13"/>
      <c r="K16" s="13"/>
      <c r="L16" s="13"/>
      <c r="M16" s="12"/>
      <c r="N16" s="13"/>
      <c r="O16" s="36"/>
    </row>
    <row r="17" spans="1:15" ht="18" x14ac:dyDescent="0.25">
      <c r="A17" s="1"/>
      <c r="B17" s="10"/>
      <c r="C17" s="11" t="s">
        <v>24</v>
      </c>
      <c r="D17" s="16" t="s">
        <v>20</v>
      </c>
      <c r="E17" s="12">
        <v>140000</v>
      </c>
      <c r="F17" s="12"/>
      <c r="G17" s="13">
        <f>'ნსდს-საკასო სექტემბერ-მოსალოდნე'!G36</f>
        <v>84674</v>
      </c>
      <c r="H17" s="13"/>
      <c r="I17" s="13"/>
      <c r="J17" s="13"/>
      <c r="K17" s="13"/>
      <c r="L17" s="13"/>
      <c r="M17" s="12"/>
      <c r="N17" s="13"/>
      <c r="O17" s="36"/>
    </row>
    <row r="18" spans="1:15" ht="18" x14ac:dyDescent="0.25">
      <c r="A18" s="1"/>
      <c r="B18" s="10"/>
      <c r="C18" s="11" t="s">
        <v>25</v>
      </c>
      <c r="D18" s="16" t="s">
        <v>21</v>
      </c>
      <c r="E18" s="12">
        <v>4300000</v>
      </c>
      <c r="F18" s="12"/>
      <c r="G18" s="13">
        <f>'ნსდს-საკასო სექტემბერ-მოსალოდნე'!G37</f>
        <v>0</v>
      </c>
      <c r="H18" s="13"/>
      <c r="I18" s="13"/>
      <c r="J18" s="13"/>
      <c r="K18" s="13"/>
      <c r="L18" s="13"/>
      <c r="M18" s="12"/>
      <c r="N18" s="13"/>
      <c r="O18" s="36"/>
    </row>
    <row r="19" spans="1:15" ht="18" x14ac:dyDescent="0.25">
      <c r="A19" s="1"/>
      <c r="B19" s="10"/>
      <c r="C19" s="11" t="s">
        <v>26</v>
      </c>
      <c r="D19" s="16" t="s">
        <v>22</v>
      </c>
      <c r="E19" s="12">
        <v>40000</v>
      </c>
      <c r="F19" s="12"/>
      <c r="G19" s="13">
        <f>'ნსდს-საკასო სექტემბერ-მოსალოდნე'!G38</f>
        <v>260756</v>
      </c>
      <c r="H19" s="13"/>
      <c r="I19" s="13"/>
      <c r="J19" s="13"/>
      <c r="K19" s="13"/>
      <c r="L19" s="13"/>
      <c r="M19" s="12"/>
      <c r="N19" s="13"/>
      <c r="O19" s="36"/>
    </row>
    <row r="20" spans="1:15" ht="21" x14ac:dyDescent="0.25">
      <c r="A20" s="1"/>
      <c r="B20" s="3" t="s">
        <v>28</v>
      </c>
      <c r="C20" s="7"/>
      <c r="D20" s="2" t="s">
        <v>27</v>
      </c>
      <c r="E20" s="17">
        <f>E21+E22+E23+E24+E25</f>
        <v>1000000</v>
      </c>
      <c r="F20" s="18">
        <f>'დაზუსტებული ბიუჯეტი-8,09,16'!M11</f>
        <v>1700000</v>
      </c>
      <c r="G20" s="17">
        <f>G21+G22+G23+G24+G25</f>
        <v>17955674</v>
      </c>
      <c r="H20" s="142">
        <v>6203</v>
      </c>
      <c r="I20" s="143">
        <f>F20-H20</f>
        <v>1693797</v>
      </c>
      <c r="J20" s="17">
        <v>1137111</v>
      </c>
      <c r="K20" s="17"/>
      <c r="L20" s="17">
        <v>501686</v>
      </c>
      <c r="M20" s="141">
        <f>J20+L20</f>
        <v>1638797</v>
      </c>
      <c r="N20" s="18">
        <f>I20-M20</f>
        <v>55000</v>
      </c>
      <c r="O20" s="35"/>
    </row>
    <row r="21" spans="1:15" ht="72" x14ac:dyDescent="0.25">
      <c r="A21" s="1"/>
      <c r="B21" s="10"/>
      <c r="C21" s="11" t="s">
        <v>34</v>
      </c>
      <c r="D21" s="16" t="s">
        <v>33</v>
      </c>
      <c r="E21" s="12">
        <v>462000</v>
      </c>
      <c r="F21" s="12"/>
      <c r="G21" s="13">
        <f>'ნსდს-საკასო სექტემბერ-მოსალოდნე'!G40</f>
        <v>17955674</v>
      </c>
      <c r="H21" s="13"/>
      <c r="I21" s="13"/>
      <c r="J21" s="13"/>
      <c r="K21" s="13"/>
      <c r="L21" s="13"/>
      <c r="M21" s="12"/>
      <c r="N21" s="13"/>
      <c r="O21" s="36"/>
    </row>
    <row r="22" spans="1:15" ht="36" x14ac:dyDescent="0.25">
      <c r="A22" s="1"/>
      <c r="B22" s="10"/>
      <c r="C22" s="11" t="s">
        <v>35</v>
      </c>
      <c r="D22" s="16" t="s">
        <v>29</v>
      </c>
      <c r="E22" s="12">
        <v>235000</v>
      </c>
      <c r="F22" s="12"/>
      <c r="G22" s="13">
        <f>'ნსდს-საკასო სექტემბერ-მოსალოდნე'!G41</f>
        <v>0</v>
      </c>
      <c r="H22" s="13"/>
      <c r="I22" s="13"/>
      <c r="J22" s="13"/>
      <c r="K22" s="13"/>
      <c r="L22" s="13"/>
      <c r="M22" s="12"/>
      <c r="N22" s="13"/>
      <c r="O22" s="36"/>
    </row>
    <row r="23" spans="1:15" ht="18" x14ac:dyDescent="0.25">
      <c r="A23" s="1"/>
      <c r="B23" s="10"/>
      <c r="C23" s="11" t="s">
        <v>36</v>
      </c>
      <c r="D23" s="16" t="s">
        <v>30</v>
      </c>
      <c r="E23" s="12">
        <v>25000</v>
      </c>
      <c r="F23" s="12"/>
      <c r="G23" s="13">
        <f>'ნსდს-საკასო სექტემბერ-მოსალოდნე'!G42</f>
        <v>0</v>
      </c>
      <c r="H23" s="13"/>
      <c r="I23" s="13"/>
      <c r="J23" s="13"/>
      <c r="K23" s="13"/>
      <c r="L23" s="13"/>
      <c r="M23" s="12"/>
      <c r="N23" s="13"/>
      <c r="O23" s="36"/>
    </row>
    <row r="24" spans="1:15" ht="18" x14ac:dyDescent="0.25">
      <c r="A24" s="1"/>
      <c r="B24" s="10"/>
      <c r="C24" s="11" t="s">
        <v>37</v>
      </c>
      <c r="D24" s="16" t="s">
        <v>31</v>
      </c>
      <c r="E24" s="12">
        <v>33000</v>
      </c>
      <c r="F24" s="12"/>
      <c r="G24" s="13">
        <f>'ნსდს-საკასო სექტემბერ-მოსალოდნე'!G43</f>
        <v>0</v>
      </c>
      <c r="H24" s="13"/>
      <c r="I24" s="13"/>
      <c r="J24" s="13"/>
      <c r="K24" s="13"/>
      <c r="L24" s="13"/>
      <c r="M24" s="12"/>
      <c r="N24" s="13"/>
      <c r="O24" s="36"/>
    </row>
    <row r="25" spans="1:15" ht="36" x14ac:dyDescent="0.25">
      <c r="A25" s="1"/>
      <c r="B25" s="10"/>
      <c r="C25" s="11" t="s">
        <v>38</v>
      </c>
      <c r="D25" s="16" t="s">
        <v>32</v>
      </c>
      <c r="E25" s="12">
        <v>245000</v>
      </c>
      <c r="F25" s="12"/>
      <c r="G25" s="13">
        <f>'ნსდს-საკასო სექტემბერ-მოსალოდნე'!G45</f>
        <v>0</v>
      </c>
      <c r="H25" s="13"/>
      <c r="I25" s="13"/>
      <c r="J25" s="13"/>
      <c r="K25" s="13"/>
      <c r="L25" s="13"/>
      <c r="M25" s="12"/>
      <c r="N25" s="13"/>
      <c r="O25" s="36"/>
    </row>
    <row r="26" spans="1:15" ht="21" x14ac:dyDescent="0.25">
      <c r="A26" s="1"/>
      <c r="B26" s="3" t="s">
        <v>40</v>
      </c>
      <c r="C26" s="7"/>
      <c r="D26" s="2" t="s">
        <v>39</v>
      </c>
      <c r="E26" s="17">
        <f>E27+E28+E29</f>
        <v>1650000</v>
      </c>
      <c r="F26" s="18">
        <f>'დაზუსტებული ბიუჯეტი-8,09,16'!M12</f>
        <v>1650000</v>
      </c>
      <c r="G26" s="17">
        <f>G27+G28+G29</f>
        <v>0</v>
      </c>
      <c r="H26" s="142">
        <v>966</v>
      </c>
      <c r="I26" s="143">
        <f>F26-H26</f>
        <v>1649034</v>
      </c>
      <c r="J26" s="17">
        <v>1360012</v>
      </c>
      <c r="K26" s="17"/>
      <c r="L26" s="17">
        <v>266022</v>
      </c>
      <c r="M26" s="141">
        <f>J26+L26</f>
        <v>1626034</v>
      </c>
      <c r="N26" s="18">
        <f>I26-M26</f>
        <v>23000</v>
      </c>
      <c r="O26" s="35"/>
    </row>
    <row r="27" spans="1:15" ht="36" x14ac:dyDescent="0.25">
      <c r="A27" s="1"/>
      <c r="B27" s="10"/>
      <c r="C27" s="11" t="s">
        <v>44</v>
      </c>
      <c r="D27" s="16" t="s">
        <v>41</v>
      </c>
      <c r="E27" s="12">
        <v>1550000</v>
      </c>
      <c r="F27" s="12"/>
      <c r="G27" s="13">
        <f>'ნსდს-საკასო სექტემბერ-მოსალოდნე'!G47</f>
        <v>0</v>
      </c>
      <c r="H27" s="13"/>
      <c r="I27" s="13"/>
      <c r="J27" s="13"/>
      <c r="K27" s="13"/>
      <c r="L27" s="13"/>
      <c r="M27" s="12"/>
      <c r="N27" s="13"/>
      <c r="O27" s="36"/>
    </row>
    <row r="28" spans="1:15" ht="54" x14ac:dyDescent="0.25">
      <c r="A28" s="1"/>
      <c r="B28" s="10"/>
      <c r="C28" s="11" t="s">
        <v>45</v>
      </c>
      <c r="D28" s="16" t="s">
        <v>42</v>
      </c>
      <c r="E28" s="12">
        <v>65000</v>
      </c>
      <c r="F28" s="12"/>
      <c r="G28" s="13">
        <f>'ნსდს-საკასო სექტემბერ-მოსალოდნე'!G48</f>
        <v>0</v>
      </c>
      <c r="H28" s="13"/>
      <c r="I28" s="13"/>
      <c r="J28" s="13"/>
      <c r="K28" s="13"/>
      <c r="L28" s="13"/>
      <c r="M28" s="12"/>
      <c r="N28" s="13"/>
      <c r="O28" s="36"/>
    </row>
    <row r="29" spans="1:15" ht="72" x14ac:dyDescent="0.25">
      <c r="A29" s="1"/>
      <c r="B29" s="10"/>
      <c r="C29" s="11" t="s">
        <v>46</v>
      </c>
      <c r="D29" s="16" t="s">
        <v>43</v>
      </c>
      <c r="E29" s="12">
        <v>35000</v>
      </c>
      <c r="F29" s="12"/>
      <c r="G29" s="13">
        <f>'ნსდს-საკასო სექტემბერ-მოსალოდნე'!G49</f>
        <v>0</v>
      </c>
      <c r="H29" s="13"/>
      <c r="I29" s="150"/>
      <c r="J29" s="13"/>
      <c r="K29" s="13"/>
      <c r="L29" s="13"/>
      <c r="M29" s="12"/>
      <c r="N29" s="13"/>
      <c r="O29" s="36"/>
    </row>
    <row r="30" spans="1:15" ht="21" x14ac:dyDescent="0.25">
      <c r="A30" s="1"/>
      <c r="B30" s="3" t="s">
        <v>48</v>
      </c>
      <c r="C30" s="7"/>
      <c r="D30" s="2" t="s">
        <v>47</v>
      </c>
      <c r="E30" s="8">
        <v>270000</v>
      </c>
      <c r="F30" s="18">
        <f>'დაზუსტებული ბიუჯეტი-8,09,16'!M13</f>
        <v>270000</v>
      </c>
      <c r="G30" s="18">
        <f>'ნსდს-საკასო სექტემბერ-მოსალოდნე'!G50</f>
        <v>0</v>
      </c>
      <c r="H30" s="144"/>
      <c r="I30" s="142">
        <f>F30-H30</f>
        <v>270000</v>
      </c>
      <c r="J30" s="147">
        <v>202500</v>
      </c>
      <c r="K30" s="147"/>
      <c r="L30" s="18">
        <v>67500</v>
      </c>
      <c r="M30" s="141">
        <f>J30+L30</f>
        <v>270000</v>
      </c>
      <c r="N30" s="18">
        <f>I30-M30</f>
        <v>0</v>
      </c>
      <c r="O30" s="35"/>
    </row>
    <row r="31" spans="1:15" s="29" customFormat="1" ht="37.5" customHeight="1" x14ac:dyDescent="0.25">
      <c r="B31" s="3" t="s">
        <v>49</v>
      </c>
      <c r="C31" s="7"/>
      <c r="D31" s="2" t="s">
        <v>50</v>
      </c>
      <c r="E31" s="8">
        <v>8000000</v>
      </c>
      <c r="F31" s="15">
        <f>'დაზუსტებული ბიუჯეტი-8,09,16'!M14</f>
        <v>8000000</v>
      </c>
      <c r="G31" s="15" t="e">
        <f>#REF!</f>
        <v>#REF!</v>
      </c>
      <c r="H31" s="145"/>
      <c r="I31" s="142">
        <f>F31-H31</f>
        <v>8000000</v>
      </c>
      <c r="J31" s="148">
        <v>6895466.4900000002</v>
      </c>
      <c r="K31" s="148">
        <v>7458506.8100000005</v>
      </c>
      <c r="L31" s="15">
        <v>2620000</v>
      </c>
      <c r="M31" s="141">
        <f>K31+L31</f>
        <v>10078506.810000001</v>
      </c>
      <c r="N31" s="18">
        <f>I31-M31</f>
        <v>-2078506.8100000005</v>
      </c>
      <c r="O31" s="37"/>
    </row>
    <row r="32" spans="1:15" ht="21" x14ac:dyDescent="0.25">
      <c r="A32" s="1"/>
      <c r="B32" s="3" t="s">
        <v>55</v>
      </c>
      <c r="C32" s="7"/>
      <c r="D32" s="2" t="s">
        <v>60</v>
      </c>
      <c r="E32" s="8">
        <f>E33+E34+E35+E36+E37+E38+E39+E40+E41+E42+E43+E44+E45</f>
        <v>14000000</v>
      </c>
      <c r="F32" s="15">
        <f>'დაზუსტებული ბიუჯეტი-8,09,16'!M15</f>
        <v>13830000</v>
      </c>
      <c r="G32" s="8" t="e">
        <f>G33+G34+G35+G36+G37+G38+G39+G40+G41+G42+G43+G44+G45</f>
        <v>#REF!</v>
      </c>
      <c r="H32" s="146"/>
      <c r="I32" s="142">
        <f>F32-H32</f>
        <v>13830000</v>
      </c>
      <c r="J32" s="149">
        <f>J33+J34+J35+J36+J37+J38+J39+J40+J41+J42+J43+J44+J45</f>
        <v>10237777.050000001</v>
      </c>
      <c r="K32" s="149">
        <f>K33+K35+J36+J37</f>
        <v>10238757.210000001</v>
      </c>
      <c r="L32" s="8">
        <f>L33+L34+L35+L36+L37+L38+L39+L40+L41+L42+L43+L44+L45</f>
        <v>3848081</v>
      </c>
      <c r="M32" s="141">
        <f>K32+L32</f>
        <v>14086838.210000001</v>
      </c>
      <c r="N32" s="277">
        <f>I32-M32</f>
        <v>-256838.21000000089</v>
      </c>
      <c r="O32" s="38"/>
    </row>
    <row r="33" spans="1:15" ht="54" x14ac:dyDescent="0.25">
      <c r="A33" s="1"/>
      <c r="B33" s="10"/>
      <c r="C33" s="11" t="s">
        <v>56</v>
      </c>
      <c r="D33" s="16" t="s">
        <v>51</v>
      </c>
      <c r="E33" s="12">
        <v>2613400</v>
      </c>
      <c r="F33" s="12"/>
      <c r="G33" s="13" t="e">
        <f>#REF!</f>
        <v>#REF!</v>
      </c>
      <c r="H33" s="13"/>
      <c r="I33" s="151"/>
      <c r="J33" s="13">
        <v>2026819.5100000002</v>
      </c>
      <c r="K33" s="13">
        <v>2027799.6700000002</v>
      </c>
      <c r="L33" s="13">
        <v>660000</v>
      </c>
      <c r="M33" s="12"/>
      <c r="N33" s="13"/>
      <c r="O33" s="36"/>
    </row>
    <row r="34" spans="1:15" ht="18" x14ac:dyDescent="0.25">
      <c r="A34" s="1"/>
      <c r="B34" s="10"/>
      <c r="C34" s="11" t="s">
        <v>57</v>
      </c>
      <c r="D34" s="16" t="s">
        <v>52</v>
      </c>
      <c r="E34" s="12">
        <v>1202200</v>
      </c>
      <c r="F34" s="12"/>
      <c r="G34" s="13">
        <f>'ნსდს-საკასო სექტემბერ-მოსალოდნე'!G52</f>
        <v>0</v>
      </c>
      <c r="H34" s="13"/>
      <c r="I34" s="13"/>
      <c r="J34" s="13"/>
      <c r="K34" s="13"/>
      <c r="L34" s="13"/>
      <c r="M34" s="12"/>
      <c r="N34" s="13"/>
      <c r="O34" s="36"/>
    </row>
    <row r="35" spans="1:15" ht="18" x14ac:dyDescent="0.25">
      <c r="A35" s="1"/>
      <c r="B35" s="10"/>
      <c r="C35" s="11" t="s">
        <v>58</v>
      </c>
      <c r="D35" s="16" t="s">
        <v>53</v>
      </c>
      <c r="E35" s="12">
        <v>9110600</v>
      </c>
      <c r="F35" s="12"/>
      <c r="G35" s="13" t="e">
        <f>#REF!</f>
        <v>#REF!</v>
      </c>
      <c r="H35" s="13"/>
      <c r="I35" s="13"/>
      <c r="J35" s="13">
        <v>7283038.540000001</v>
      </c>
      <c r="K35" s="13">
        <v>7283038.540000001</v>
      </c>
      <c r="L35" s="13">
        <v>2400000</v>
      </c>
      <c r="M35" s="12"/>
      <c r="N35" s="13"/>
      <c r="O35" s="36"/>
    </row>
    <row r="36" spans="1:15" ht="54" x14ac:dyDescent="0.25">
      <c r="A36" s="1"/>
      <c r="B36" s="10"/>
      <c r="C36" s="11" t="s">
        <v>59</v>
      </c>
      <c r="D36" s="16" t="s">
        <v>54</v>
      </c>
      <c r="E36" s="12">
        <v>40000</v>
      </c>
      <c r="F36" s="12"/>
      <c r="G36" s="13" t="e">
        <f>#REF!</f>
        <v>#REF!</v>
      </c>
      <c r="H36" s="13"/>
      <c r="I36" s="13"/>
      <c r="J36" s="13">
        <v>624968</v>
      </c>
      <c r="K36" s="13"/>
      <c r="L36" s="13">
        <v>265032</v>
      </c>
      <c r="M36" s="12"/>
      <c r="N36" s="13"/>
      <c r="O36" s="36"/>
    </row>
    <row r="37" spans="1:15" ht="29.25" customHeight="1" x14ac:dyDescent="0.25">
      <c r="A37" s="1"/>
      <c r="B37" s="10"/>
      <c r="C37" s="11" t="s">
        <v>64</v>
      </c>
      <c r="D37" s="16" t="s">
        <v>61</v>
      </c>
      <c r="E37" s="12">
        <v>37800</v>
      </c>
      <c r="F37" s="12"/>
      <c r="G37" s="13">
        <f>'ნსდს-საკასო სექტემბერ-მოსალოდნე'!G55</f>
        <v>0</v>
      </c>
      <c r="H37" s="13"/>
      <c r="I37" s="13"/>
      <c r="J37" s="13">
        <v>302951</v>
      </c>
      <c r="K37" s="13"/>
      <c r="L37" s="13">
        <v>523049</v>
      </c>
      <c r="M37" s="12"/>
      <c r="N37" s="13"/>
      <c r="O37" s="36"/>
    </row>
    <row r="38" spans="1:15" ht="36" x14ac:dyDescent="0.25">
      <c r="A38" s="1"/>
      <c r="B38" s="10"/>
      <c r="C38" s="11" t="s">
        <v>65</v>
      </c>
      <c r="D38" s="16" t="s">
        <v>62</v>
      </c>
      <c r="E38" s="12">
        <v>543000</v>
      </c>
      <c r="F38" s="12"/>
      <c r="G38" s="13">
        <f>'ნსდს-საკასო სექტემბერ-მოსალოდნე'!G56</f>
        <v>0</v>
      </c>
      <c r="H38" s="13"/>
      <c r="I38" s="13"/>
      <c r="J38" s="13"/>
      <c r="K38" s="13"/>
      <c r="L38" s="13"/>
      <c r="M38" s="12"/>
      <c r="N38" s="13"/>
      <c r="O38" s="36"/>
    </row>
    <row r="39" spans="1:15" ht="36" x14ac:dyDescent="0.25">
      <c r="A39" s="1"/>
      <c r="B39" s="10"/>
      <c r="C39" s="11" t="s">
        <v>66</v>
      </c>
      <c r="D39" s="28" t="s">
        <v>255</v>
      </c>
      <c r="E39" s="12"/>
      <c r="F39" s="12"/>
      <c r="G39" s="13"/>
      <c r="H39" s="13"/>
      <c r="I39" s="13"/>
      <c r="J39" s="13"/>
      <c r="K39" s="13"/>
      <c r="L39" s="13"/>
      <c r="M39" s="13"/>
      <c r="N39" s="13"/>
      <c r="O39" s="36"/>
    </row>
    <row r="40" spans="1:15" ht="54" x14ac:dyDescent="0.25">
      <c r="A40" s="1"/>
      <c r="B40" s="10"/>
      <c r="C40" s="11" t="s">
        <v>67</v>
      </c>
      <c r="D40" s="28" t="s">
        <v>256</v>
      </c>
      <c r="E40" s="12"/>
      <c r="F40" s="12"/>
      <c r="G40" s="13"/>
      <c r="H40" s="13"/>
      <c r="I40" s="13"/>
      <c r="J40" s="13"/>
      <c r="K40" s="13"/>
      <c r="L40" s="13"/>
      <c r="M40" s="13"/>
      <c r="N40" s="13"/>
      <c r="O40" s="36"/>
    </row>
    <row r="41" spans="1:15" ht="36" x14ac:dyDescent="0.25">
      <c r="A41" s="1"/>
      <c r="B41" s="10"/>
      <c r="C41" s="11" t="s">
        <v>265</v>
      </c>
      <c r="D41" s="28" t="s">
        <v>257</v>
      </c>
      <c r="E41" s="12"/>
      <c r="F41" s="12"/>
      <c r="G41" s="13"/>
      <c r="H41" s="13"/>
      <c r="I41" s="13"/>
      <c r="J41" s="13"/>
      <c r="K41" s="13"/>
      <c r="L41" s="13"/>
      <c r="M41" s="13"/>
      <c r="N41" s="13"/>
      <c r="O41" s="36"/>
    </row>
    <row r="42" spans="1:15" ht="18" x14ac:dyDescent="0.25">
      <c r="A42" s="1"/>
      <c r="B42" s="10"/>
      <c r="C42" s="11" t="s">
        <v>266</v>
      </c>
      <c r="D42" s="28" t="s">
        <v>258</v>
      </c>
      <c r="E42" s="12"/>
      <c r="F42" s="12"/>
      <c r="G42" s="13"/>
      <c r="H42" s="13"/>
      <c r="I42" s="13"/>
      <c r="J42" s="13"/>
      <c r="K42" s="13"/>
      <c r="L42" s="13"/>
      <c r="M42" s="13"/>
      <c r="N42" s="13"/>
      <c r="O42" s="36"/>
    </row>
    <row r="43" spans="1:15" ht="36" x14ac:dyDescent="0.25">
      <c r="A43" s="1"/>
      <c r="B43" s="10"/>
      <c r="C43" s="11" t="s">
        <v>267</v>
      </c>
      <c r="D43" s="28" t="s">
        <v>259</v>
      </c>
      <c r="E43" s="12"/>
      <c r="F43" s="12"/>
      <c r="G43" s="13"/>
      <c r="H43" s="13"/>
      <c r="I43" s="13"/>
      <c r="J43" s="13"/>
      <c r="K43" s="13"/>
      <c r="L43" s="13"/>
      <c r="M43" s="13"/>
      <c r="N43" s="13"/>
      <c r="O43" s="36"/>
    </row>
    <row r="44" spans="1:15" ht="54" x14ac:dyDescent="0.25">
      <c r="A44" s="1"/>
      <c r="B44" s="10"/>
      <c r="C44" s="11" t="s">
        <v>268</v>
      </c>
      <c r="D44" s="16" t="s">
        <v>63</v>
      </c>
      <c r="E44" s="12"/>
      <c r="F44" s="12"/>
      <c r="G44" s="13"/>
      <c r="H44" s="13"/>
      <c r="I44" s="13"/>
      <c r="J44" s="13"/>
      <c r="K44" s="13"/>
      <c r="L44" s="13"/>
      <c r="M44" s="13"/>
      <c r="N44" s="13"/>
      <c r="O44" s="36"/>
    </row>
    <row r="45" spans="1:15" ht="90" x14ac:dyDescent="0.25">
      <c r="A45" s="1"/>
      <c r="B45" s="10"/>
      <c r="C45" s="11" t="s">
        <v>269</v>
      </c>
      <c r="D45" s="16" t="s">
        <v>275</v>
      </c>
      <c r="E45" s="12">
        <v>453000</v>
      </c>
      <c r="F45" s="12"/>
      <c r="G45" s="13">
        <f>'ნსდს-საკასო სექტემბერ-მოსალოდნე'!G57</f>
        <v>0</v>
      </c>
      <c r="H45" s="13"/>
      <c r="I45" s="13"/>
      <c r="J45" s="13"/>
      <c r="K45" s="13"/>
      <c r="L45" s="13"/>
      <c r="M45" s="13"/>
      <c r="N45" s="13"/>
      <c r="O45" s="36"/>
    </row>
    <row r="46" spans="1:15" ht="21" x14ac:dyDescent="0.25">
      <c r="A46" s="1"/>
      <c r="B46" s="3" t="s">
        <v>69</v>
      </c>
      <c r="C46" s="7"/>
      <c r="D46" s="2" t="s">
        <v>68</v>
      </c>
      <c r="E46" s="8">
        <f>E47+E48+E49+E50+E51+E52+E53+E54+E55</f>
        <v>8424000</v>
      </c>
      <c r="F46" s="15">
        <f>'დაზუსტებული ბიუჯეტი-8,09,16'!M19</f>
        <v>7624000</v>
      </c>
      <c r="G46" s="8" t="e">
        <f>G47+G48+G49+G50+G51+G52+G53+G54+G55</f>
        <v>#REF!</v>
      </c>
      <c r="H46" s="142">
        <v>73649.399999999994</v>
      </c>
      <c r="I46" s="143">
        <f>F46-H46</f>
        <v>7550350.5999999996</v>
      </c>
      <c r="J46" s="8">
        <f>J47+J48+J49+J50+J51+J52+J53+J54+J55</f>
        <v>4152663.25</v>
      </c>
      <c r="K46" s="8">
        <f>J47+K48+K49</f>
        <v>4366062.4800000004</v>
      </c>
      <c r="L46" s="8">
        <f>L47+L48+L49+L50+L51+L52+L53+L54+L55</f>
        <v>2703916</v>
      </c>
      <c r="M46" s="141">
        <f>K46+L46</f>
        <v>7069978.4800000004</v>
      </c>
      <c r="N46" s="277">
        <f>I46-M46</f>
        <v>480372.11999999918</v>
      </c>
      <c r="O46" s="38"/>
    </row>
    <row r="47" spans="1:15" ht="54" x14ac:dyDescent="0.25">
      <c r="A47" s="1"/>
      <c r="B47" s="10"/>
      <c r="C47" s="11" t="s">
        <v>74</v>
      </c>
      <c r="D47" s="16" t="s">
        <v>70</v>
      </c>
      <c r="E47" s="12">
        <v>900000</v>
      </c>
      <c r="F47" s="12"/>
      <c r="G47" s="13">
        <f>'ნსდს-საკასო სექტემბერ-მოსალოდნე'!G59</f>
        <v>0</v>
      </c>
      <c r="H47" s="13">
        <v>73649.399999999994</v>
      </c>
      <c r="I47" s="13"/>
      <c r="J47" s="13">
        <v>552435</v>
      </c>
      <c r="K47" s="13"/>
      <c r="L47" s="13">
        <v>253916</v>
      </c>
      <c r="M47" s="13"/>
      <c r="N47" s="13"/>
      <c r="O47" s="36"/>
    </row>
    <row r="48" spans="1:15" ht="36" x14ac:dyDescent="0.25">
      <c r="A48" s="1"/>
      <c r="B48" s="10"/>
      <c r="C48" s="11" t="s">
        <v>75</v>
      </c>
      <c r="D48" s="16" t="s">
        <v>71</v>
      </c>
      <c r="E48" s="12">
        <v>2625000</v>
      </c>
      <c r="F48" s="12"/>
      <c r="G48" s="13" t="e">
        <f>#REF!</f>
        <v>#REF!</v>
      </c>
      <c r="H48" s="13"/>
      <c r="I48" s="13"/>
      <c r="J48" s="13">
        <v>2039394.6300000001</v>
      </c>
      <c r="K48" s="13">
        <v>2169244.48</v>
      </c>
      <c r="L48" s="13">
        <v>710000</v>
      </c>
      <c r="M48" s="13"/>
      <c r="N48" s="13"/>
      <c r="O48" s="36"/>
    </row>
    <row r="49" spans="1:15" ht="36" x14ac:dyDescent="0.25">
      <c r="A49" s="1"/>
      <c r="B49" s="10"/>
      <c r="C49" s="11" t="s">
        <v>76</v>
      </c>
      <c r="D49" s="16" t="s">
        <v>72</v>
      </c>
      <c r="E49" s="12">
        <v>2269000</v>
      </c>
      <c r="F49" s="12"/>
      <c r="G49" s="13" t="e">
        <f>#REF!</f>
        <v>#REF!</v>
      </c>
      <c r="H49" s="13"/>
      <c r="I49" s="13"/>
      <c r="J49" s="13">
        <v>1560833.62</v>
      </c>
      <c r="K49" s="13">
        <v>1644383</v>
      </c>
      <c r="L49" s="13">
        <v>570000</v>
      </c>
      <c r="M49" s="13"/>
      <c r="N49" s="13"/>
      <c r="O49" s="36"/>
    </row>
    <row r="50" spans="1:15" ht="36" x14ac:dyDescent="0.25">
      <c r="A50" s="1"/>
      <c r="B50" s="10"/>
      <c r="C50" s="11" t="s">
        <v>77</v>
      </c>
      <c r="D50" s="16" t="s">
        <v>73</v>
      </c>
      <c r="E50" s="12">
        <v>2630000</v>
      </c>
      <c r="F50" s="12"/>
      <c r="G50" s="13">
        <f>'ნსდს-საკასო სექტემბერ-მოსალოდნე'!G61</f>
        <v>0</v>
      </c>
      <c r="H50" s="13"/>
      <c r="I50" s="13"/>
      <c r="J50" s="13"/>
      <c r="K50" s="13"/>
      <c r="L50" s="13"/>
      <c r="M50" s="13"/>
      <c r="N50" s="13"/>
      <c r="O50" s="36"/>
    </row>
    <row r="51" spans="1:15" ht="36" x14ac:dyDescent="0.25">
      <c r="A51" s="1"/>
      <c r="B51" s="10"/>
      <c r="C51" s="11" t="s">
        <v>270</v>
      </c>
      <c r="D51" s="28" t="s">
        <v>260</v>
      </c>
      <c r="E51" s="12"/>
      <c r="F51" s="12"/>
      <c r="G51" s="13"/>
      <c r="H51" s="13"/>
      <c r="I51" s="13"/>
      <c r="J51" s="13"/>
      <c r="K51" s="13"/>
      <c r="L51" s="13">
        <v>1170000</v>
      </c>
      <c r="M51" s="13"/>
      <c r="N51" s="13"/>
      <c r="O51" s="36"/>
    </row>
    <row r="52" spans="1:15" ht="18" x14ac:dyDescent="0.25">
      <c r="A52" s="1"/>
      <c r="B52" s="10"/>
      <c r="C52" s="11" t="s">
        <v>271</v>
      </c>
      <c r="D52" s="28" t="s">
        <v>261</v>
      </c>
      <c r="E52" s="12"/>
      <c r="F52" s="12"/>
      <c r="G52" s="13"/>
      <c r="H52" s="13"/>
      <c r="I52" s="13"/>
      <c r="J52" s="13"/>
      <c r="K52" s="13"/>
      <c r="L52" s="13"/>
      <c r="M52" s="13"/>
      <c r="N52" s="13"/>
      <c r="O52" s="36"/>
    </row>
    <row r="53" spans="1:15" ht="36" x14ac:dyDescent="0.25">
      <c r="A53" s="1"/>
      <c r="B53" s="10"/>
      <c r="C53" s="11" t="s">
        <v>272</v>
      </c>
      <c r="D53" s="28" t="s">
        <v>262</v>
      </c>
      <c r="E53" s="12"/>
      <c r="F53" s="12"/>
      <c r="G53" s="13"/>
      <c r="H53" s="13"/>
      <c r="I53" s="13"/>
      <c r="J53" s="13"/>
      <c r="K53" s="13"/>
      <c r="L53" s="13"/>
      <c r="M53" s="13"/>
      <c r="N53" s="13"/>
      <c r="O53" s="36"/>
    </row>
    <row r="54" spans="1:15" ht="36" x14ac:dyDescent="0.25">
      <c r="A54" s="1"/>
      <c r="B54" s="10"/>
      <c r="C54" s="11" t="s">
        <v>273</v>
      </c>
      <c r="D54" s="28" t="s">
        <v>263</v>
      </c>
      <c r="E54" s="12"/>
      <c r="F54" s="12"/>
      <c r="G54" s="13"/>
      <c r="H54" s="13"/>
      <c r="I54" s="13"/>
      <c r="J54" s="13"/>
      <c r="K54" s="13"/>
      <c r="L54" s="13"/>
      <c r="M54" s="13"/>
      <c r="N54" s="13"/>
      <c r="O54" s="36"/>
    </row>
    <row r="55" spans="1:15" ht="72" x14ac:dyDescent="0.25">
      <c r="A55" s="1"/>
      <c r="B55" s="10"/>
      <c r="C55" s="11" t="s">
        <v>274</v>
      </c>
      <c r="D55" s="28" t="s">
        <v>264</v>
      </c>
      <c r="E55" s="12"/>
      <c r="F55" s="12"/>
      <c r="G55" s="13"/>
      <c r="H55" s="13"/>
      <c r="I55" s="13"/>
      <c r="J55" s="13"/>
      <c r="K55" s="13"/>
      <c r="L55" s="13"/>
      <c r="M55" s="13"/>
      <c r="N55" s="13"/>
      <c r="O55" s="36"/>
    </row>
    <row r="56" spans="1:15" ht="21" x14ac:dyDescent="0.25">
      <c r="A56" s="1"/>
      <c r="B56" s="3" t="s">
        <v>79</v>
      </c>
      <c r="C56" s="7"/>
      <c r="D56" s="2" t="s">
        <v>78</v>
      </c>
      <c r="E56" s="8">
        <f>E57+E58+E59+E60+E61+E62+E63</f>
        <v>7000000</v>
      </c>
      <c r="F56" s="15">
        <f>'დაზუსტებული ბიუჯეტი-8,09,16'!M23</f>
        <v>6920000</v>
      </c>
      <c r="G56" s="8" t="e">
        <f>G57+G58+G59+G60+G61+G62+G63</f>
        <v>#REF!</v>
      </c>
      <c r="H56" s="142">
        <f>H59+H60</f>
        <v>84612.4</v>
      </c>
      <c r="I56" s="143">
        <f>F56-H56</f>
        <v>6835387.5999999996</v>
      </c>
      <c r="J56" s="8">
        <f>J57+J58+J59+J60+J61+J62+J63+J64+J65+J66</f>
        <v>4649434.84</v>
      </c>
      <c r="K56" s="8">
        <f>K57+K58+K59+J60+K61+J64+J65+J66</f>
        <v>4712557.97</v>
      </c>
      <c r="L56" s="8">
        <f>L57+L58+L59+L60+L61+L62+L63+L65</f>
        <v>1616161.2024999999</v>
      </c>
      <c r="M56" s="141">
        <f>K56+L56</f>
        <v>6328719.1724999994</v>
      </c>
      <c r="N56" s="18">
        <f>I56-M56</f>
        <v>506668.42750000022</v>
      </c>
      <c r="O56" s="38"/>
    </row>
    <row r="57" spans="1:15" ht="18" x14ac:dyDescent="0.25">
      <c r="A57" s="1"/>
      <c r="B57" s="10"/>
      <c r="C57" s="11" t="s">
        <v>87</v>
      </c>
      <c r="D57" s="16" t="s">
        <v>80</v>
      </c>
      <c r="E57" s="12">
        <v>2700000</v>
      </c>
      <c r="F57" s="12"/>
      <c r="G57" s="13" t="e">
        <f>#REF!</f>
        <v>#REF!</v>
      </c>
      <c r="H57" s="13"/>
      <c r="I57" s="13"/>
      <c r="J57" s="13">
        <v>1810787</v>
      </c>
      <c r="K57" s="13">
        <v>1851211</v>
      </c>
      <c r="L57" s="13">
        <v>660000</v>
      </c>
      <c r="M57" s="13"/>
      <c r="N57" s="13"/>
      <c r="O57" s="36"/>
    </row>
    <row r="58" spans="1:15" ht="18" x14ac:dyDescent="0.25">
      <c r="A58" s="1"/>
      <c r="B58" s="10"/>
      <c r="C58" s="11" t="s">
        <v>88</v>
      </c>
      <c r="D58" s="16" t="s">
        <v>81</v>
      </c>
      <c r="E58" s="12">
        <v>2474700</v>
      </c>
      <c r="F58" s="12"/>
      <c r="G58" s="13" t="e">
        <f>#REF!</f>
        <v>#REF!</v>
      </c>
      <c r="H58" s="13"/>
      <c r="I58" s="13"/>
      <c r="J58" s="13">
        <v>1520839.5799999998</v>
      </c>
      <c r="K58" s="13">
        <v>1543538.7399999998</v>
      </c>
      <c r="L58" s="13">
        <v>555000</v>
      </c>
      <c r="M58" s="13"/>
      <c r="N58" s="13"/>
      <c r="O58" s="36"/>
    </row>
    <row r="59" spans="1:15" ht="18" x14ac:dyDescent="0.25">
      <c r="A59" s="1"/>
      <c r="B59" s="10"/>
      <c r="C59" s="11" t="s">
        <v>89</v>
      </c>
      <c r="D59" s="16" t="s">
        <v>82</v>
      </c>
      <c r="E59" s="12">
        <v>413300</v>
      </c>
      <c r="F59" s="12"/>
      <c r="G59" s="13" t="e">
        <f>#REF!</f>
        <v>#REF!</v>
      </c>
      <c r="H59" s="13">
        <v>1059.4000000000001</v>
      </c>
      <c r="I59" s="13"/>
      <c r="J59" s="13">
        <v>314385.62</v>
      </c>
      <c r="K59" s="13">
        <v>314385.59000000003</v>
      </c>
      <c r="L59" s="13">
        <v>95729.202499999985</v>
      </c>
      <c r="M59" s="13"/>
      <c r="N59" s="13"/>
      <c r="O59" s="36"/>
    </row>
    <row r="60" spans="1:15" ht="54" x14ac:dyDescent="0.25">
      <c r="A60" s="1"/>
      <c r="B60" s="10"/>
      <c r="C60" s="11" t="s">
        <v>90</v>
      </c>
      <c r="D60" s="16" t="s">
        <v>83</v>
      </c>
      <c r="E60" s="12">
        <v>491500</v>
      </c>
      <c r="F60" s="12"/>
      <c r="G60" s="13">
        <f>'ნსდს-საკასო სექტემბერ-მოსალოდნე'!G63</f>
        <v>0</v>
      </c>
      <c r="H60" s="13">
        <v>83553</v>
      </c>
      <c r="I60" s="13"/>
      <c r="J60" s="13">
        <v>263283</v>
      </c>
      <c r="K60" s="13"/>
      <c r="L60" s="13">
        <v>93164</v>
      </c>
      <c r="M60" s="13"/>
      <c r="N60" s="13"/>
      <c r="O60" s="36"/>
    </row>
    <row r="61" spans="1:15" ht="54" x14ac:dyDescent="0.25">
      <c r="A61" s="1"/>
      <c r="B61" s="10"/>
      <c r="C61" s="11" t="s">
        <v>91</v>
      </c>
      <c r="D61" s="16" t="s">
        <v>84</v>
      </c>
      <c r="E61" s="12">
        <v>800000</v>
      </c>
      <c r="F61" s="12"/>
      <c r="G61" s="13" t="e">
        <f>#REF!</f>
        <v>#REF!</v>
      </c>
      <c r="H61" s="13"/>
      <c r="I61" s="13"/>
      <c r="J61" s="13">
        <v>549752</v>
      </c>
      <c r="K61" s="13">
        <v>549752</v>
      </c>
      <c r="L61" s="13">
        <v>195000</v>
      </c>
      <c r="M61" s="13"/>
      <c r="N61" s="13"/>
      <c r="O61" s="36"/>
    </row>
    <row r="62" spans="1:15" ht="18" x14ac:dyDescent="0.25">
      <c r="A62" s="1"/>
      <c r="B62" s="10"/>
      <c r="C62" s="11" t="s">
        <v>92</v>
      </c>
      <c r="D62" s="16" t="s">
        <v>85</v>
      </c>
      <c r="E62" s="12">
        <v>50500</v>
      </c>
      <c r="F62" s="12"/>
      <c r="G62" s="13">
        <f>'ნსდს-საკასო სექტემბერ-მოსალოდნე'!G64</f>
        <v>0</v>
      </c>
      <c r="H62" s="13"/>
      <c r="I62" s="13"/>
      <c r="J62" s="13"/>
      <c r="K62" s="13"/>
      <c r="L62" s="13"/>
      <c r="M62" s="13"/>
      <c r="N62" s="13"/>
      <c r="O62" s="36"/>
    </row>
    <row r="63" spans="1:15" ht="18" x14ac:dyDescent="0.25">
      <c r="A63" s="1"/>
      <c r="B63" s="10"/>
      <c r="C63" s="11" t="s">
        <v>93</v>
      </c>
      <c r="D63" s="16" t="s">
        <v>86</v>
      </c>
      <c r="E63" s="12">
        <v>70000</v>
      </c>
      <c r="F63" s="12">
        <f>F64+F65+F66</f>
        <v>226000</v>
      </c>
      <c r="G63" s="13"/>
      <c r="H63" s="13"/>
      <c r="I63" s="13"/>
      <c r="J63" s="13"/>
      <c r="K63" s="13"/>
      <c r="L63" s="13">
        <v>2268</v>
      </c>
      <c r="M63" s="13"/>
      <c r="N63" s="13"/>
      <c r="O63" s="36"/>
    </row>
    <row r="64" spans="1:15" ht="18" x14ac:dyDescent="0.25">
      <c r="A64" s="1"/>
      <c r="B64" s="10"/>
      <c r="C64" s="11"/>
      <c r="D64" s="16" t="s">
        <v>281</v>
      </c>
      <c r="E64" s="12">
        <v>34000</v>
      </c>
      <c r="F64" s="12">
        <v>34000</v>
      </c>
      <c r="G64" s="13"/>
      <c r="H64" s="13"/>
      <c r="I64" s="13"/>
      <c r="J64" s="13">
        <v>31733.8</v>
      </c>
      <c r="K64" s="13"/>
      <c r="L64" s="13"/>
      <c r="M64" s="13"/>
      <c r="N64" s="13"/>
      <c r="O64" s="36"/>
    </row>
    <row r="65" spans="1:15" ht="72" x14ac:dyDescent="0.25">
      <c r="A65" s="1"/>
      <c r="B65" s="10"/>
      <c r="C65" s="11"/>
      <c r="D65" s="16" t="s">
        <v>282</v>
      </c>
      <c r="E65" s="12">
        <v>36000</v>
      </c>
      <c r="F65" s="12">
        <v>42000</v>
      </c>
      <c r="G65" s="13"/>
      <c r="H65" s="13"/>
      <c r="I65" s="13"/>
      <c r="J65" s="13">
        <v>27000</v>
      </c>
      <c r="K65" s="13"/>
      <c r="L65" s="13">
        <f>F65-J65</f>
        <v>15000</v>
      </c>
      <c r="M65" s="13"/>
      <c r="N65" s="13"/>
      <c r="O65" s="36"/>
    </row>
    <row r="66" spans="1:15" ht="18" x14ac:dyDescent="0.25">
      <c r="A66" s="1"/>
      <c r="B66" s="10"/>
      <c r="C66" s="11"/>
      <c r="D66" s="16" t="s">
        <v>387</v>
      </c>
      <c r="E66" s="12"/>
      <c r="F66" s="12">
        <v>150000</v>
      </c>
      <c r="G66" s="13"/>
      <c r="H66" s="13"/>
      <c r="I66" s="13"/>
      <c r="J66" s="13">
        <v>131653.84</v>
      </c>
      <c r="K66" s="13"/>
      <c r="L66" s="13"/>
      <c r="M66" s="13"/>
      <c r="N66" s="13"/>
      <c r="O66" s="36"/>
    </row>
    <row r="67" spans="1:15" ht="21" x14ac:dyDescent="0.25">
      <c r="A67" s="1"/>
      <c r="B67" s="3" t="s">
        <v>94</v>
      </c>
      <c r="C67" s="7"/>
      <c r="D67" s="2" t="s">
        <v>95</v>
      </c>
      <c r="E67" s="8">
        <f>E68+E69+E70+E71+E72+E73</f>
        <v>5000000</v>
      </c>
      <c r="F67" s="15">
        <f>'დაზუსტებული ბიუჯეტი-8,09,16'!M26</f>
        <v>5000000</v>
      </c>
      <c r="G67" s="8" t="e">
        <f>G68+G69+G70+G71+G72+G73</f>
        <v>#REF!</v>
      </c>
      <c r="H67" s="142">
        <v>53745</v>
      </c>
      <c r="I67" s="143">
        <f>F67-H67</f>
        <v>4946255</v>
      </c>
      <c r="J67" s="8">
        <f>J68+J69+J70+J71+J72+J73</f>
        <v>3667950.8200000003</v>
      </c>
      <c r="K67" s="8">
        <f>K68+K69+J70+J71+K72</f>
        <v>3527603.55</v>
      </c>
      <c r="L67" s="8">
        <f>L68+L69+L70+L71+L72+L73</f>
        <v>1087611.68</v>
      </c>
      <c r="M67" s="141">
        <f>K67+L67</f>
        <v>4615215.2299999995</v>
      </c>
      <c r="N67" s="18">
        <f>I67-M67</f>
        <v>331039.77000000048</v>
      </c>
      <c r="O67" s="38"/>
    </row>
    <row r="68" spans="1:15" ht="72" x14ac:dyDescent="0.25">
      <c r="A68" s="1"/>
      <c r="B68" s="10"/>
      <c r="C68" s="11" t="s">
        <v>243</v>
      </c>
      <c r="D68" s="16" t="s">
        <v>96</v>
      </c>
      <c r="E68" s="12">
        <v>890000</v>
      </c>
      <c r="F68" s="12"/>
      <c r="G68" s="13" t="e">
        <f>#REF!</f>
        <v>#REF!</v>
      </c>
      <c r="H68" s="13"/>
      <c r="I68" s="13"/>
      <c r="J68" s="13">
        <v>557729.11</v>
      </c>
      <c r="K68" s="13">
        <v>585810.92999999993</v>
      </c>
      <c r="L68" s="13">
        <v>222499.98</v>
      </c>
      <c r="M68" s="13"/>
      <c r="N68" s="13"/>
      <c r="O68" s="36"/>
    </row>
    <row r="69" spans="1:15" ht="54" x14ac:dyDescent="0.25">
      <c r="A69" s="1"/>
      <c r="B69" s="10"/>
      <c r="C69" s="11" t="s">
        <v>244</v>
      </c>
      <c r="D69" s="16" t="s">
        <v>97</v>
      </c>
      <c r="E69" s="12">
        <v>2772800</v>
      </c>
      <c r="F69" s="12"/>
      <c r="G69" s="13" t="e">
        <f>#REF!</f>
        <v>#REF!</v>
      </c>
      <c r="H69" s="13"/>
      <c r="I69" s="13"/>
      <c r="J69" s="13">
        <v>2051004.1500000001</v>
      </c>
      <c r="K69" s="13">
        <v>2073529.2000000002</v>
      </c>
      <c r="L69" s="13">
        <v>692961.05999999994</v>
      </c>
      <c r="M69" s="13"/>
      <c r="N69" s="13"/>
      <c r="O69" s="36"/>
    </row>
    <row r="70" spans="1:15" ht="18" x14ac:dyDescent="0.25">
      <c r="A70" s="1"/>
      <c r="B70" s="10"/>
      <c r="C70" s="11" t="s">
        <v>245</v>
      </c>
      <c r="D70" s="16" t="s">
        <v>98</v>
      </c>
      <c r="E70" s="12">
        <v>881200</v>
      </c>
      <c r="F70" s="12"/>
      <c r="G70" s="13">
        <f>'სოცი-საკასო 9 თვე'!G24</f>
        <v>741263.41999999993</v>
      </c>
      <c r="H70" s="13">
        <v>53745</v>
      </c>
      <c r="I70" s="13"/>
      <c r="J70" s="13">
        <v>741263.41999999993</v>
      </c>
      <c r="K70" s="13"/>
      <c r="L70" s="13">
        <v>58150.64</v>
      </c>
      <c r="M70" s="13"/>
      <c r="N70" s="13"/>
      <c r="O70" s="36"/>
    </row>
    <row r="71" spans="1:15" ht="36" x14ac:dyDescent="0.25">
      <c r="A71" s="1"/>
      <c r="B71" s="10"/>
      <c r="C71" s="11" t="s">
        <v>246</v>
      </c>
      <c r="D71" s="16" t="s">
        <v>99</v>
      </c>
      <c r="E71" s="12">
        <v>36000</v>
      </c>
      <c r="F71" s="12"/>
      <c r="G71" s="13">
        <f>'სოცი-საკასო 9 თვე'!G25</f>
        <v>27000</v>
      </c>
      <c r="H71" s="13"/>
      <c r="I71" s="13"/>
      <c r="J71" s="13">
        <v>27000</v>
      </c>
      <c r="K71" s="13"/>
      <c r="L71" s="13">
        <f>E71-J71</f>
        <v>9000</v>
      </c>
      <c r="M71" s="13"/>
      <c r="N71" s="13"/>
      <c r="O71" s="36"/>
    </row>
    <row r="72" spans="1:15" ht="18" x14ac:dyDescent="0.25">
      <c r="A72" s="1"/>
      <c r="B72" s="10"/>
      <c r="C72" s="11" t="s">
        <v>247</v>
      </c>
      <c r="D72" s="16" t="s">
        <v>100</v>
      </c>
      <c r="E72" s="12">
        <v>120000</v>
      </c>
      <c r="F72" s="12"/>
      <c r="G72" s="13" t="e">
        <f>#REF!</f>
        <v>#REF!</v>
      </c>
      <c r="H72" s="13"/>
      <c r="I72" s="13"/>
      <c r="J72" s="13">
        <v>100000</v>
      </c>
      <c r="K72" s="13">
        <v>100000</v>
      </c>
      <c r="L72" s="13">
        <v>30000</v>
      </c>
      <c r="M72" s="13"/>
      <c r="N72" s="13"/>
      <c r="O72" s="36"/>
    </row>
    <row r="73" spans="1:15" ht="36" x14ac:dyDescent="0.25">
      <c r="A73" s="1"/>
      <c r="B73" s="10"/>
      <c r="C73" s="11" t="s">
        <v>248</v>
      </c>
      <c r="D73" s="16" t="s">
        <v>101</v>
      </c>
      <c r="E73" s="12">
        <v>300000</v>
      </c>
      <c r="F73" s="12"/>
      <c r="G73" s="13" t="e">
        <f>#REF!</f>
        <v>#REF!</v>
      </c>
      <c r="H73" s="13"/>
      <c r="I73" s="13"/>
      <c r="J73" s="13">
        <v>190954.14</v>
      </c>
      <c r="K73" s="13">
        <v>190954.44</v>
      </c>
      <c r="L73" s="13">
        <v>75000</v>
      </c>
      <c r="M73" s="13"/>
      <c r="N73" s="13"/>
      <c r="O73" s="36"/>
    </row>
    <row r="74" spans="1:15" ht="21" x14ac:dyDescent="0.25">
      <c r="A74" s="1"/>
      <c r="B74" s="3" t="s">
        <v>103</v>
      </c>
      <c r="C74" s="7"/>
      <c r="D74" s="2" t="s">
        <v>102</v>
      </c>
      <c r="E74" s="8">
        <f>E75+E76+E77+E78+E79</f>
        <v>400000</v>
      </c>
      <c r="F74" s="15">
        <f>'დაზუსტებული ბიუჯეტი-8,09,16'!M27</f>
        <v>400000</v>
      </c>
      <c r="G74" s="8">
        <f>G75+G76+G77+G78+G79</f>
        <v>0</v>
      </c>
      <c r="H74" s="142">
        <v>34950</v>
      </c>
      <c r="I74" s="143">
        <f>F74-H74</f>
        <v>365050</v>
      </c>
      <c r="J74" s="8">
        <v>84674</v>
      </c>
      <c r="K74" s="8"/>
      <c r="L74" s="8">
        <v>280376</v>
      </c>
      <c r="M74" s="141">
        <f>J74+L74</f>
        <v>365050</v>
      </c>
      <c r="N74" s="18">
        <f>I74-M74</f>
        <v>0</v>
      </c>
      <c r="O74" s="38"/>
    </row>
    <row r="75" spans="1:15" ht="18" x14ac:dyDescent="0.25">
      <c r="A75" s="1"/>
      <c r="B75" s="10"/>
      <c r="C75" s="11" t="s">
        <v>249</v>
      </c>
      <c r="D75" s="16" t="s">
        <v>104</v>
      </c>
      <c r="E75" s="12">
        <v>100000</v>
      </c>
      <c r="F75" s="12"/>
      <c r="G75" s="13">
        <f>'ნსდს-საკასო სექტემბერ-მოსალოდნე'!G66</f>
        <v>0</v>
      </c>
      <c r="H75" s="13"/>
      <c r="I75" s="13"/>
      <c r="J75" s="13"/>
      <c r="K75" s="13"/>
      <c r="L75" s="13"/>
      <c r="M75" s="13"/>
      <c r="N75" s="13"/>
      <c r="O75" s="36"/>
    </row>
    <row r="76" spans="1:15" ht="36" x14ac:dyDescent="0.25">
      <c r="A76" s="1"/>
      <c r="B76" s="10"/>
      <c r="C76" s="11" t="s">
        <v>250</v>
      </c>
      <c r="D76" s="16" t="s">
        <v>105</v>
      </c>
      <c r="E76" s="12">
        <v>65000</v>
      </c>
      <c r="F76" s="12"/>
      <c r="G76" s="13">
        <f>'ნსდს-საკასო სექტემბერ-მოსალოდნე'!G67</f>
        <v>0</v>
      </c>
      <c r="H76" s="13"/>
      <c r="I76" s="13"/>
      <c r="J76" s="13"/>
      <c r="K76" s="13"/>
      <c r="L76" s="13"/>
      <c r="M76" s="13"/>
      <c r="N76" s="13"/>
      <c r="O76" s="36"/>
    </row>
    <row r="77" spans="1:15" ht="18" x14ac:dyDescent="0.25">
      <c r="A77" s="1"/>
      <c r="B77" s="10"/>
      <c r="C77" s="11" t="s">
        <v>251</v>
      </c>
      <c r="D77" s="16" t="s">
        <v>106</v>
      </c>
      <c r="E77" s="12">
        <v>60000</v>
      </c>
      <c r="F77" s="12"/>
      <c r="G77" s="13">
        <f>'ნსდს-საკასო სექტემბერ-მოსალოდნე'!G68</f>
        <v>0</v>
      </c>
      <c r="H77" s="13"/>
      <c r="I77" s="13"/>
      <c r="J77" s="13"/>
      <c r="K77" s="13"/>
      <c r="L77" s="13"/>
      <c r="M77" s="13"/>
      <c r="N77" s="13"/>
      <c r="O77" s="36"/>
    </row>
    <row r="78" spans="1:15" ht="18" x14ac:dyDescent="0.25">
      <c r="A78" s="1"/>
      <c r="B78" s="10"/>
      <c r="C78" s="11" t="s">
        <v>252</v>
      </c>
      <c r="D78" s="16" t="s">
        <v>107</v>
      </c>
      <c r="E78" s="12">
        <v>100000</v>
      </c>
      <c r="F78" s="12"/>
      <c r="G78" s="13">
        <f>'ნსდს-საკასო სექტემბერ-მოსალოდნე'!G69</f>
        <v>0</v>
      </c>
      <c r="H78" s="13"/>
      <c r="I78" s="13"/>
      <c r="J78" s="13"/>
      <c r="K78" s="13"/>
      <c r="L78" s="13"/>
      <c r="M78" s="13"/>
      <c r="N78" s="13"/>
      <c r="O78" s="36"/>
    </row>
    <row r="79" spans="1:15" ht="18" x14ac:dyDescent="0.25">
      <c r="A79" s="1"/>
      <c r="B79" s="10"/>
      <c r="C79" s="11" t="s">
        <v>253</v>
      </c>
      <c r="D79" s="16" t="s">
        <v>108</v>
      </c>
      <c r="E79" s="12">
        <v>75000</v>
      </c>
      <c r="F79" s="12"/>
      <c r="G79" s="13">
        <f>'ნსდს-საკასო სექტემბერ-მოსალოდნე'!G70</f>
        <v>0</v>
      </c>
      <c r="H79" s="13"/>
      <c r="I79" s="13"/>
      <c r="J79" s="13"/>
      <c r="K79" s="13"/>
      <c r="L79" s="13"/>
      <c r="M79" s="13"/>
      <c r="N79" s="13"/>
      <c r="O79" s="36"/>
    </row>
    <row r="80" spans="1:15" ht="21" x14ac:dyDescent="0.25">
      <c r="A80" s="1"/>
      <c r="B80" s="3" t="s">
        <v>109</v>
      </c>
      <c r="C80" s="7"/>
      <c r="D80" s="2" t="s">
        <v>110</v>
      </c>
      <c r="E80" s="8">
        <f>E81+E82+E83+E84</f>
        <v>21300000</v>
      </c>
      <c r="F80" s="15">
        <v>15630000</v>
      </c>
      <c r="G80" s="8" t="e">
        <f>G82+G83+G84</f>
        <v>#REF!</v>
      </c>
      <c r="H80" s="142">
        <v>465544.10000000009</v>
      </c>
      <c r="I80" s="143">
        <f>F80-H80</f>
        <v>15164455.9</v>
      </c>
      <c r="J80" s="8">
        <f>J81+J82+J83+J84</f>
        <v>4322339.24</v>
      </c>
      <c r="K80" s="8">
        <f>J81+K82+J83+J84</f>
        <v>4508452.5499999989</v>
      </c>
      <c r="L80" s="8">
        <f>L81+L82+L83+L84</f>
        <v>9160168.7699999996</v>
      </c>
      <c r="M80" s="141">
        <f>J80+L80</f>
        <v>13482508.01</v>
      </c>
      <c r="N80" s="18">
        <f>I80-M80</f>
        <v>1681947.8900000006</v>
      </c>
      <c r="O80" s="38"/>
    </row>
    <row r="81" spans="1:15" ht="18" x14ac:dyDescent="0.25">
      <c r="A81" s="1"/>
      <c r="B81" s="10"/>
      <c r="C81" s="10" t="s">
        <v>114</v>
      </c>
      <c r="D81" s="16" t="s">
        <v>410</v>
      </c>
      <c r="E81" s="12">
        <v>680000</v>
      </c>
      <c r="F81" s="10"/>
      <c r="G81" s="10"/>
      <c r="H81" s="10"/>
      <c r="I81" s="10"/>
      <c r="J81" s="13">
        <v>260756</v>
      </c>
      <c r="K81" s="13"/>
      <c r="L81" s="13">
        <v>293545</v>
      </c>
      <c r="M81" s="10"/>
      <c r="N81" s="10"/>
      <c r="O81" s="38"/>
    </row>
    <row r="82" spans="1:15" ht="18" x14ac:dyDescent="0.25">
      <c r="A82" s="1"/>
      <c r="B82" s="10"/>
      <c r="C82" s="11" t="s">
        <v>115</v>
      </c>
      <c r="D82" s="16" t="s">
        <v>111</v>
      </c>
      <c r="E82" s="12">
        <v>13500000</v>
      </c>
      <c r="F82" s="12"/>
      <c r="G82" s="13" t="e">
        <f>#REF!</f>
        <v>#REF!</v>
      </c>
      <c r="H82" s="13"/>
      <c r="I82" s="13"/>
      <c r="J82" s="13">
        <v>2271271.5100000002</v>
      </c>
      <c r="K82" s="13">
        <v>2457384.8199999994</v>
      </c>
      <c r="L82" s="13">
        <v>8000000</v>
      </c>
      <c r="M82" s="13"/>
      <c r="N82" s="13"/>
      <c r="O82" s="36"/>
    </row>
    <row r="83" spans="1:15" ht="36" x14ac:dyDescent="0.25">
      <c r="A83" s="1"/>
      <c r="B83" s="10"/>
      <c r="C83" s="11" t="s">
        <v>116</v>
      </c>
      <c r="D83" s="16" t="s">
        <v>112</v>
      </c>
      <c r="E83" s="12">
        <v>6000000</v>
      </c>
      <c r="F83" s="12"/>
      <c r="G83" s="13">
        <f>'სოცი-საკასო 9 თვე'!G30</f>
        <v>1536935.5</v>
      </c>
      <c r="H83" s="13"/>
      <c r="I83" s="13"/>
      <c r="J83" s="13">
        <v>1536935.5</v>
      </c>
      <c r="K83" s="13"/>
      <c r="L83" s="13"/>
      <c r="M83" s="13"/>
      <c r="N83" s="13"/>
      <c r="O83" s="36"/>
    </row>
    <row r="84" spans="1:15" ht="18" x14ac:dyDescent="0.25">
      <c r="A84" s="1"/>
      <c r="B84" s="10"/>
      <c r="C84" s="11" t="s">
        <v>409</v>
      </c>
      <c r="D84" s="16" t="s">
        <v>113</v>
      </c>
      <c r="E84" s="12">
        <v>1120000</v>
      </c>
      <c r="F84" s="12"/>
      <c r="G84" s="13">
        <f>'სოცი-საკასო 9 თვე'!G31</f>
        <v>253376.22999999998</v>
      </c>
      <c r="H84" s="13"/>
      <c r="I84" s="13"/>
      <c r="J84" s="13">
        <v>253376.22999999998</v>
      </c>
      <c r="K84" s="13"/>
      <c r="L84" s="13">
        <f>E84-J84</f>
        <v>866623.77</v>
      </c>
      <c r="M84" s="13"/>
      <c r="N84" s="13"/>
      <c r="O84" s="36"/>
    </row>
    <row r="85" spans="1:15" ht="36" x14ac:dyDescent="0.25">
      <c r="A85" s="1"/>
      <c r="B85" s="19" t="s">
        <v>117</v>
      </c>
      <c r="C85" s="20"/>
      <c r="D85" s="21" t="s">
        <v>118</v>
      </c>
      <c r="E85" s="22">
        <f>E86+E94+E100+E103+E111+E116+E129+E136+E141+E146</f>
        <v>146451000</v>
      </c>
      <c r="F85" s="22"/>
      <c r="G85" s="22" t="e">
        <f>G86+G94+G100+G103+G111+G116+G129+G136+G141+G146</f>
        <v>#REF!</v>
      </c>
      <c r="H85" s="22"/>
      <c r="I85" s="22"/>
      <c r="J85" s="22"/>
      <c r="K85" s="22"/>
      <c r="L85" s="22"/>
      <c r="M85" s="22"/>
      <c r="N85" s="22"/>
      <c r="O85" s="39"/>
    </row>
    <row r="86" spans="1:15" ht="21" x14ac:dyDescent="0.25">
      <c r="A86" s="1"/>
      <c r="B86" s="3" t="s">
        <v>120</v>
      </c>
      <c r="C86" s="7"/>
      <c r="D86" s="2" t="s">
        <v>119</v>
      </c>
      <c r="E86" s="8">
        <f>E87+E88+E89+E90+E91+E92+E93</f>
        <v>15000000</v>
      </c>
      <c r="F86" s="15">
        <f>'დაზუსტებული ბიუჯეტი-8,09,16'!M31</f>
        <v>15302500</v>
      </c>
      <c r="G86" s="8" t="e">
        <f>G87+G88+G89+G90+G91+G92+G93</f>
        <v>#REF!</v>
      </c>
      <c r="H86" s="142">
        <v>19245.400000000001</v>
      </c>
      <c r="I86" s="143">
        <f>F86-H86</f>
        <v>15283254.6</v>
      </c>
      <c r="J86" s="8">
        <f>J87+J88+J89+J90+J91+J92+J93</f>
        <v>12062406.42</v>
      </c>
      <c r="K86" s="8">
        <f>K87+K88+K89+K90+K91+K92+K93</f>
        <v>12248349.76</v>
      </c>
      <c r="L86" s="8">
        <f>L87+L88+L89+L90+L91+L92+L93</f>
        <v>4085214</v>
      </c>
      <c r="M86" s="141">
        <f>K86+L86</f>
        <v>16333563.76</v>
      </c>
      <c r="N86" s="18">
        <f>I86-M86</f>
        <v>-1050309.1600000001</v>
      </c>
      <c r="O86" s="38"/>
    </row>
    <row r="87" spans="1:15" ht="18" x14ac:dyDescent="0.25">
      <c r="A87" s="1"/>
      <c r="B87" s="10"/>
      <c r="C87" s="11" t="s">
        <v>128</v>
      </c>
      <c r="D87" s="16" t="s">
        <v>121</v>
      </c>
      <c r="E87" s="12">
        <v>2865300</v>
      </c>
      <c r="F87" s="12"/>
      <c r="G87" s="13" t="e">
        <f>#REF!</f>
        <v>#REF!</v>
      </c>
      <c r="H87" s="13"/>
      <c r="I87" s="13"/>
      <c r="J87" s="13">
        <v>2148966</v>
      </c>
      <c r="K87" s="13">
        <v>2148966</v>
      </c>
      <c r="L87" s="13">
        <v>716322</v>
      </c>
      <c r="M87" s="13"/>
      <c r="N87" s="13"/>
      <c r="O87" s="36"/>
    </row>
    <row r="88" spans="1:15" ht="18" x14ac:dyDescent="0.25">
      <c r="A88" s="1"/>
      <c r="B88" s="10"/>
      <c r="C88" s="11" t="s">
        <v>128</v>
      </c>
      <c r="D88" s="16" t="s">
        <v>122</v>
      </c>
      <c r="E88" s="12">
        <v>70100</v>
      </c>
      <c r="F88" s="12"/>
      <c r="G88" s="13" t="e">
        <f>#REF!</f>
        <v>#REF!</v>
      </c>
      <c r="H88" s="13"/>
      <c r="I88" s="13"/>
      <c r="J88" s="13">
        <v>52578</v>
      </c>
      <c r="K88" s="13">
        <v>52578</v>
      </c>
      <c r="L88" s="13">
        <v>17526</v>
      </c>
      <c r="M88" s="13"/>
      <c r="N88" s="13"/>
      <c r="O88" s="36"/>
    </row>
    <row r="89" spans="1:15" ht="18" x14ac:dyDescent="0.25">
      <c r="A89" s="1"/>
      <c r="B89" s="10"/>
      <c r="C89" s="11" t="s">
        <v>128</v>
      </c>
      <c r="D89" s="16" t="s">
        <v>123</v>
      </c>
      <c r="E89" s="12">
        <v>151000</v>
      </c>
      <c r="F89" s="12"/>
      <c r="G89" s="13" t="e">
        <f>#REF!</f>
        <v>#REF!</v>
      </c>
      <c r="H89" s="13"/>
      <c r="I89" s="13"/>
      <c r="J89" s="13">
        <v>102220.90000000001</v>
      </c>
      <c r="K89" s="13">
        <v>102220.90000000001</v>
      </c>
      <c r="L89" s="13">
        <v>37746</v>
      </c>
      <c r="M89" s="13"/>
      <c r="N89" s="13"/>
      <c r="O89" s="36"/>
    </row>
    <row r="90" spans="1:15" ht="18" x14ac:dyDescent="0.25">
      <c r="A90" s="1"/>
      <c r="B90" s="10"/>
      <c r="C90" s="11" t="s">
        <v>136</v>
      </c>
      <c r="D90" s="16" t="s">
        <v>124</v>
      </c>
      <c r="E90" s="12">
        <v>662300</v>
      </c>
      <c r="F90" s="12"/>
      <c r="G90" s="13" t="e">
        <f>#REF!</f>
        <v>#REF!</v>
      </c>
      <c r="H90" s="13"/>
      <c r="I90" s="13"/>
      <c r="J90" s="13">
        <v>496710</v>
      </c>
      <c r="K90" s="13">
        <v>496710</v>
      </c>
      <c r="L90" s="13">
        <v>165570</v>
      </c>
      <c r="M90" s="13"/>
      <c r="N90" s="13"/>
      <c r="O90" s="36"/>
    </row>
    <row r="91" spans="1:15" ht="18" x14ac:dyDescent="0.25">
      <c r="A91" s="1"/>
      <c r="B91" s="10"/>
      <c r="C91" s="11" t="s">
        <v>137</v>
      </c>
      <c r="D91" s="16" t="s">
        <v>125</v>
      </c>
      <c r="E91" s="12">
        <v>96800</v>
      </c>
      <c r="F91" s="12"/>
      <c r="G91" s="13" t="e">
        <f>#REF!</f>
        <v>#REF!</v>
      </c>
      <c r="H91" s="13"/>
      <c r="I91" s="13"/>
      <c r="J91" s="13">
        <v>174150</v>
      </c>
      <c r="K91" s="13">
        <v>174150</v>
      </c>
      <c r="L91" s="13">
        <v>58050</v>
      </c>
      <c r="M91" s="13"/>
      <c r="N91" s="13"/>
      <c r="O91" s="36"/>
    </row>
    <row r="92" spans="1:15" ht="18" x14ac:dyDescent="0.25">
      <c r="A92" s="1"/>
      <c r="B92" s="10"/>
      <c r="C92" s="11" t="s">
        <v>138</v>
      </c>
      <c r="D92" s="16" t="s">
        <v>126</v>
      </c>
      <c r="E92" s="12">
        <v>10614500</v>
      </c>
      <c r="F92" s="12"/>
      <c r="G92" s="13" t="e">
        <f>#REF!</f>
        <v>#REF!</v>
      </c>
      <c r="H92" s="13"/>
      <c r="I92" s="13"/>
      <c r="J92" s="13">
        <v>8682556.5199999996</v>
      </c>
      <c r="K92" s="13">
        <v>8867499.8599999994</v>
      </c>
      <c r="L92" s="13">
        <v>2955000</v>
      </c>
      <c r="M92" s="13"/>
      <c r="N92" s="13"/>
      <c r="O92" s="36"/>
    </row>
    <row r="93" spans="1:15" ht="36" x14ac:dyDescent="0.25">
      <c r="A93" s="1"/>
      <c r="B93" s="10"/>
      <c r="C93" s="11" t="s">
        <v>139</v>
      </c>
      <c r="D93" s="16" t="s">
        <v>127</v>
      </c>
      <c r="E93" s="12">
        <v>540000</v>
      </c>
      <c r="F93" s="12"/>
      <c r="G93" s="13" t="e">
        <f>#REF!</f>
        <v>#REF!</v>
      </c>
      <c r="H93" s="13"/>
      <c r="I93" s="13"/>
      <c r="J93" s="13">
        <v>405225</v>
      </c>
      <c r="K93" s="13">
        <v>406225</v>
      </c>
      <c r="L93" s="13">
        <v>135000</v>
      </c>
      <c r="M93" s="13"/>
      <c r="N93" s="13"/>
      <c r="O93" s="36"/>
    </row>
    <row r="94" spans="1:15" ht="21" x14ac:dyDescent="0.25">
      <c r="A94" s="1"/>
      <c r="B94" s="3" t="s">
        <v>129</v>
      </c>
      <c r="C94" s="7"/>
      <c r="D94" s="2" t="s">
        <v>130</v>
      </c>
      <c r="E94" s="8">
        <f>E95+E96+E97+E98+E99</f>
        <v>8100000</v>
      </c>
      <c r="F94" s="15">
        <f>'დაზუსტებული ბიუჯეტი-8,09,16'!M32</f>
        <v>8100000</v>
      </c>
      <c r="G94" s="8" t="e">
        <f>G95+G96+G97+G98+G99</f>
        <v>#REF!</v>
      </c>
      <c r="H94" s="142">
        <v>127172</v>
      </c>
      <c r="I94" s="143">
        <f>F94-H94</f>
        <v>7972828</v>
      </c>
      <c r="J94" s="8">
        <f>J95+J96+J97+J98+J99</f>
        <v>7396539.9499999993</v>
      </c>
      <c r="K94" s="8">
        <f>K95+K96+J97+J98+J99</f>
        <v>7409122.8299999982</v>
      </c>
      <c r="L94" s="8">
        <f>L95+L96+L97+L98+L99</f>
        <v>1472369.6</v>
      </c>
      <c r="M94" s="141">
        <f>K94+L94</f>
        <v>8881492.4299999978</v>
      </c>
      <c r="N94" s="18">
        <f>I94-M94</f>
        <v>-908664.42999999784</v>
      </c>
      <c r="O94" s="38"/>
    </row>
    <row r="95" spans="1:15" ht="18" x14ac:dyDescent="0.25">
      <c r="A95" s="1"/>
      <c r="B95" s="10"/>
      <c r="C95" s="11" t="s">
        <v>140</v>
      </c>
      <c r="D95" s="16" t="s">
        <v>131</v>
      </c>
      <c r="E95" s="12">
        <v>800000</v>
      </c>
      <c r="F95" s="12"/>
      <c r="G95" s="13" t="e">
        <f>#REF!</f>
        <v>#REF!</v>
      </c>
      <c r="H95" s="13"/>
      <c r="I95" s="13"/>
      <c r="J95" s="13">
        <v>680914.40999999992</v>
      </c>
      <c r="K95" s="13">
        <v>681477.3899999999</v>
      </c>
      <c r="L95" s="13">
        <v>229500</v>
      </c>
      <c r="M95" s="13"/>
      <c r="N95" s="13"/>
      <c r="O95" s="36"/>
    </row>
    <row r="96" spans="1:15" ht="18" x14ac:dyDescent="0.25">
      <c r="A96" s="1"/>
      <c r="B96" s="10"/>
      <c r="C96" s="11" t="s">
        <v>141</v>
      </c>
      <c r="D96" s="16" t="s">
        <v>132</v>
      </c>
      <c r="E96" s="12">
        <v>794000</v>
      </c>
      <c r="F96" s="12"/>
      <c r="G96" s="13" t="e">
        <f>#REF!</f>
        <v>#REF!</v>
      </c>
      <c r="H96" s="13"/>
      <c r="I96" s="13"/>
      <c r="J96" s="13">
        <v>656706.65</v>
      </c>
      <c r="K96" s="13">
        <v>668726.55000000005</v>
      </c>
      <c r="L96" s="13">
        <v>215000</v>
      </c>
      <c r="M96" s="13"/>
      <c r="N96" s="13"/>
      <c r="O96" s="36"/>
    </row>
    <row r="97" spans="1:15" ht="36" x14ac:dyDescent="0.25">
      <c r="A97" s="1"/>
      <c r="B97" s="10"/>
      <c r="C97" s="11" t="s">
        <v>142</v>
      </c>
      <c r="D97" s="16" t="s">
        <v>133</v>
      </c>
      <c r="E97" s="12">
        <v>6050200</v>
      </c>
      <c r="F97" s="12"/>
      <c r="G97" s="13">
        <f>'სოცი-საკასო 9 თვე'!G43</f>
        <v>5810918.8899999987</v>
      </c>
      <c r="H97" s="13"/>
      <c r="I97" s="13"/>
      <c r="J97" s="13">
        <v>5810918.8899999987</v>
      </c>
      <c r="K97" s="13"/>
      <c r="L97" s="13">
        <v>976869.6</v>
      </c>
      <c r="M97" s="13"/>
      <c r="N97" s="13"/>
      <c r="O97" s="36"/>
    </row>
    <row r="98" spans="1:15" ht="36" x14ac:dyDescent="0.25">
      <c r="A98" s="1"/>
      <c r="B98" s="10"/>
      <c r="C98" s="11" t="s">
        <v>143</v>
      </c>
      <c r="D98" s="16" t="s">
        <v>134</v>
      </c>
      <c r="E98" s="12">
        <v>251800</v>
      </c>
      <c r="F98" s="12"/>
      <c r="G98" s="13">
        <f>'სოცი-საკასო 9 თვე'!G44</f>
        <v>95000</v>
      </c>
      <c r="H98" s="13"/>
      <c r="I98" s="13"/>
      <c r="J98" s="13">
        <v>95000</v>
      </c>
      <c r="K98" s="13"/>
      <c r="L98" s="13"/>
      <c r="M98" s="13"/>
      <c r="N98" s="13"/>
      <c r="O98" s="36"/>
    </row>
    <row r="99" spans="1:15" ht="36" x14ac:dyDescent="0.25">
      <c r="A99" s="1"/>
      <c r="B99" s="10"/>
      <c r="C99" s="11" t="s">
        <v>144</v>
      </c>
      <c r="D99" s="16" t="s">
        <v>135</v>
      </c>
      <c r="E99" s="12">
        <v>204000</v>
      </c>
      <c r="F99" s="12"/>
      <c r="G99" s="13">
        <f>'სოცი-საკასო 9 თვე'!G45</f>
        <v>153000</v>
      </c>
      <c r="H99" s="13"/>
      <c r="I99" s="13"/>
      <c r="J99" s="13">
        <v>153000</v>
      </c>
      <c r="K99" s="13"/>
      <c r="L99" s="13">
        <f>E99-J99</f>
        <v>51000</v>
      </c>
      <c r="M99" s="13"/>
      <c r="N99" s="13"/>
      <c r="O99" s="36"/>
    </row>
    <row r="100" spans="1:15" ht="21" x14ac:dyDescent="0.25">
      <c r="A100" s="1"/>
      <c r="B100" s="3" t="s">
        <v>145</v>
      </c>
      <c r="C100" s="7"/>
      <c r="D100" s="2" t="s">
        <v>146</v>
      </c>
      <c r="E100" s="8">
        <f>E101+E102</f>
        <v>2000000</v>
      </c>
      <c r="F100" s="15">
        <f>'დაზუსტებული ბიუჯეტი-8,09,16'!M33</f>
        <v>1697500</v>
      </c>
      <c r="G100" s="8" t="e">
        <f>G101+G102</f>
        <v>#REF!</v>
      </c>
      <c r="H100" s="8"/>
      <c r="I100" s="143">
        <f>F100-H100</f>
        <v>1697500</v>
      </c>
      <c r="J100" s="8">
        <f>J101+J102</f>
        <v>1197094.28</v>
      </c>
      <c r="K100" s="8">
        <v>1197094.2800000003</v>
      </c>
      <c r="L100" s="8">
        <f>L101+L102</f>
        <v>500014.26</v>
      </c>
      <c r="M100" s="141">
        <f>K100+L100</f>
        <v>1697108.5400000003</v>
      </c>
      <c r="N100" s="18">
        <f>I100-M100</f>
        <v>391.45999999972992</v>
      </c>
      <c r="O100" s="38"/>
    </row>
    <row r="101" spans="1:15" ht="36" x14ac:dyDescent="0.25">
      <c r="A101" s="1"/>
      <c r="B101" s="10"/>
      <c r="C101" s="11" t="s">
        <v>148</v>
      </c>
      <c r="D101" s="16" t="s">
        <v>147</v>
      </c>
      <c r="E101" s="12">
        <v>1274000</v>
      </c>
      <c r="F101" s="12"/>
      <c r="G101" s="13" t="e">
        <f>#REF!</f>
        <v>#REF!</v>
      </c>
      <c r="H101" s="13"/>
      <c r="I101" s="13"/>
      <c r="J101" s="12">
        <v>1197094.28</v>
      </c>
      <c r="K101" s="12"/>
      <c r="L101" s="13">
        <v>500014.26</v>
      </c>
      <c r="M101" s="13"/>
      <c r="N101" s="13"/>
      <c r="O101" s="36"/>
    </row>
    <row r="102" spans="1:15" ht="36" x14ac:dyDescent="0.25">
      <c r="A102" s="1"/>
      <c r="B102" s="10"/>
      <c r="C102" s="11" t="s">
        <v>284</v>
      </c>
      <c r="D102" s="16" t="s">
        <v>283</v>
      </c>
      <c r="E102" s="12">
        <v>726000</v>
      </c>
      <c r="F102" s="12"/>
      <c r="G102" s="13">
        <v>0</v>
      </c>
      <c r="H102" s="13"/>
      <c r="I102" s="13"/>
      <c r="J102" s="13"/>
      <c r="K102" s="13"/>
      <c r="L102" s="13"/>
      <c r="M102" s="13"/>
      <c r="N102" s="13"/>
      <c r="O102" s="36"/>
    </row>
    <row r="103" spans="1:15" ht="21" x14ac:dyDescent="0.25">
      <c r="A103" s="1"/>
      <c r="B103" s="3" t="s">
        <v>150</v>
      </c>
      <c r="C103" s="7"/>
      <c r="D103" s="2" t="s">
        <v>149</v>
      </c>
      <c r="E103" s="8">
        <f>E104+E105+E106+E107+E108+E109+E110</f>
        <v>32000000</v>
      </c>
      <c r="F103" s="15">
        <f>'დაზუსტებული ბიუჯეტი-8,09,16'!M34</f>
        <v>32000000</v>
      </c>
      <c r="G103" s="8" t="e">
        <f>G104+G105+G106+G107+G108+G109+G110</f>
        <v>#REF!</v>
      </c>
      <c r="H103" s="142">
        <v>437641.39999999997</v>
      </c>
      <c r="I103" s="143">
        <f>F103-H103</f>
        <v>31562358.600000001</v>
      </c>
      <c r="J103" s="8">
        <f>J104+J105+J106+J107+J108+J109+J110</f>
        <v>21822639.09</v>
      </c>
      <c r="K103" s="8">
        <f>K104+K105+J106+K107+J108+K109+J110</f>
        <v>21889559.09</v>
      </c>
      <c r="L103" s="8">
        <f>L104+L105+L106+L107+L108+L109+L110</f>
        <v>9988326.8000000007</v>
      </c>
      <c r="M103" s="141">
        <f>K103+L103</f>
        <v>31877885.890000001</v>
      </c>
      <c r="N103" s="277">
        <f>I103-M103</f>
        <v>-315527.28999999911</v>
      </c>
      <c r="O103" s="38"/>
    </row>
    <row r="104" spans="1:15" ht="18" x14ac:dyDescent="0.25">
      <c r="A104" s="1"/>
      <c r="B104" s="10"/>
      <c r="C104" s="11" t="s">
        <v>163</v>
      </c>
      <c r="D104" s="16" t="s">
        <v>151</v>
      </c>
      <c r="E104" s="12">
        <v>12100000</v>
      </c>
      <c r="F104" s="12"/>
      <c r="G104" s="13" t="e">
        <f>#REF!</f>
        <v>#REF!</v>
      </c>
      <c r="H104" s="13"/>
      <c r="I104" s="13"/>
      <c r="J104" s="13">
        <v>9692880.0600000005</v>
      </c>
      <c r="K104" s="13">
        <v>9759800</v>
      </c>
      <c r="L104" s="13">
        <v>3240000</v>
      </c>
      <c r="M104" s="13"/>
      <c r="N104" s="13"/>
      <c r="O104" s="36"/>
    </row>
    <row r="105" spans="1:15" ht="18" x14ac:dyDescent="0.25">
      <c r="A105" s="1"/>
      <c r="B105" s="10"/>
      <c r="C105" s="11" t="s">
        <v>164</v>
      </c>
      <c r="D105" s="16" t="s">
        <v>152</v>
      </c>
      <c r="E105" s="12">
        <v>160000</v>
      </c>
      <c r="F105" s="12"/>
      <c r="G105" s="13" t="e">
        <f>#REF!</f>
        <v>#REF!</v>
      </c>
      <c r="H105" s="13"/>
      <c r="I105" s="13"/>
      <c r="J105" s="13">
        <v>83964.98</v>
      </c>
      <c r="K105" s="13">
        <v>83964.98</v>
      </c>
      <c r="L105" s="13">
        <v>33000</v>
      </c>
      <c r="M105" s="13"/>
      <c r="N105" s="13"/>
      <c r="O105" s="36"/>
    </row>
    <row r="106" spans="1:15" ht="36" x14ac:dyDescent="0.25">
      <c r="A106" s="1"/>
      <c r="B106" s="10"/>
      <c r="C106" s="11" t="s">
        <v>165</v>
      </c>
      <c r="D106" s="16" t="s">
        <v>153</v>
      </c>
      <c r="E106" s="12">
        <v>17923000</v>
      </c>
      <c r="F106" s="12"/>
      <c r="G106" s="13">
        <f>'სოცი-საკასო 9 თვე'!G54</f>
        <v>190090.37</v>
      </c>
      <c r="H106" s="13"/>
      <c r="I106" s="13"/>
      <c r="J106" s="13">
        <v>10942154.640000001</v>
      </c>
      <c r="K106" s="13"/>
      <c r="L106" s="13">
        <v>6354837.2400000002</v>
      </c>
      <c r="M106" s="13"/>
      <c r="N106" s="13"/>
      <c r="O106" s="36"/>
    </row>
    <row r="107" spans="1:15" ht="18" x14ac:dyDescent="0.25">
      <c r="A107" s="1"/>
      <c r="B107" s="10"/>
      <c r="C107" s="11" t="s">
        <v>166</v>
      </c>
      <c r="D107" s="16" t="s">
        <v>154</v>
      </c>
      <c r="E107" s="12">
        <v>700000</v>
      </c>
      <c r="F107" s="12"/>
      <c r="G107" s="13" t="e">
        <f>#REF!</f>
        <v>#REF!</v>
      </c>
      <c r="H107" s="13"/>
      <c r="I107" s="13"/>
      <c r="J107" s="13">
        <v>380000</v>
      </c>
      <c r="K107" s="13">
        <v>380000</v>
      </c>
      <c r="L107" s="13">
        <v>260000</v>
      </c>
      <c r="M107" s="13"/>
      <c r="N107" s="13"/>
      <c r="O107" s="36"/>
    </row>
    <row r="108" spans="1:15" ht="36" x14ac:dyDescent="0.25">
      <c r="A108" s="1"/>
      <c r="B108" s="10"/>
      <c r="C108" s="11" t="s">
        <v>167</v>
      </c>
      <c r="D108" s="16" t="s">
        <v>155</v>
      </c>
      <c r="E108" s="12">
        <v>847000</v>
      </c>
      <c r="F108" s="12"/>
      <c r="G108" s="13">
        <f>'სოცი-საკასო 9 თვე'!G53</f>
        <v>10942154.640000001</v>
      </c>
      <c r="H108" s="13"/>
      <c r="I108" s="13"/>
      <c r="J108" s="13">
        <v>506549.04000000004</v>
      </c>
      <c r="K108" s="13"/>
      <c r="L108" s="13">
        <v>47580</v>
      </c>
      <c r="M108" s="13"/>
      <c r="N108" s="13"/>
      <c r="O108" s="36"/>
    </row>
    <row r="109" spans="1:15" ht="36" x14ac:dyDescent="0.25">
      <c r="A109" s="1"/>
      <c r="B109" s="10"/>
      <c r="C109" s="11" t="s">
        <v>168</v>
      </c>
      <c r="D109" s="16" t="s">
        <v>156</v>
      </c>
      <c r="E109" s="12">
        <v>234000</v>
      </c>
      <c r="F109" s="12"/>
      <c r="G109" s="13" t="e">
        <f>#REF!</f>
        <v>#REF!</v>
      </c>
      <c r="H109" s="13"/>
      <c r="I109" s="13"/>
      <c r="J109" s="13">
        <v>190090.37</v>
      </c>
      <c r="K109" s="13">
        <v>190090.43</v>
      </c>
      <c r="L109" s="13">
        <v>43909.56</v>
      </c>
      <c r="M109" s="13"/>
      <c r="N109" s="13"/>
      <c r="O109" s="36"/>
    </row>
    <row r="110" spans="1:15" ht="18" x14ac:dyDescent="0.25">
      <c r="A110" s="1"/>
      <c r="B110" s="10"/>
      <c r="C110" s="11" t="s">
        <v>169</v>
      </c>
      <c r="D110" s="16" t="s">
        <v>157</v>
      </c>
      <c r="E110" s="12">
        <v>36000</v>
      </c>
      <c r="F110" s="12"/>
      <c r="G110" s="13">
        <f>'სოცი-საკასო 9 თვე'!G56</f>
        <v>1140594.6499999999</v>
      </c>
      <c r="H110" s="13"/>
      <c r="I110" s="13"/>
      <c r="J110" s="13">
        <v>27000</v>
      </c>
      <c r="K110" s="13"/>
      <c r="L110" s="13">
        <f>E110-J110</f>
        <v>9000</v>
      </c>
      <c r="M110" s="13"/>
      <c r="N110" s="13"/>
      <c r="O110" s="36"/>
    </row>
    <row r="111" spans="1:15" ht="21" x14ac:dyDescent="0.25">
      <c r="A111" s="1"/>
      <c r="B111" s="3" t="s">
        <v>158</v>
      </c>
      <c r="C111" s="7"/>
      <c r="D111" s="2" t="s">
        <v>159</v>
      </c>
      <c r="E111" s="8">
        <f>E112+E113+E114+E115</f>
        <v>3100000</v>
      </c>
      <c r="F111" s="15">
        <f>'დაზუსტებული ბიუჯეტი-8,09,16'!M35</f>
        <v>3100000</v>
      </c>
      <c r="G111" s="8" t="e">
        <f>G112+G113+G114+G115</f>
        <v>#REF!</v>
      </c>
      <c r="H111" s="142">
        <v>137104.95999999999</v>
      </c>
      <c r="I111" s="143">
        <f>F111-H111</f>
        <v>2962895.04</v>
      </c>
      <c r="J111" s="8">
        <f>J112+J113+J114+J115</f>
        <v>1140594.6499999999</v>
      </c>
      <c r="K111" s="8">
        <f>K112+K113+J114+J115</f>
        <v>1016164.1499999999</v>
      </c>
      <c r="L111" s="8">
        <f>L112+L113+L114+L115</f>
        <v>383819.51</v>
      </c>
      <c r="M111" s="141">
        <f>K111+L111</f>
        <v>1399983.66</v>
      </c>
      <c r="N111" s="18">
        <f>I111-M111</f>
        <v>1562911.3800000001</v>
      </c>
      <c r="O111" s="38"/>
    </row>
    <row r="112" spans="1:15" ht="36" x14ac:dyDescent="0.25">
      <c r="A112" s="1"/>
      <c r="B112" s="10"/>
      <c r="C112" s="11" t="s">
        <v>170</v>
      </c>
      <c r="D112" s="16" t="s">
        <v>160</v>
      </c>
      <c r="E112" s="12">
        <v>1812000</v>
      </c>
      <c r="F112" s="13"/>
      <c r="G112" s="13" t="e">
        <f>#REF!</f>
        <v>#REF!</v>
      </c>
      <c r="H112" s="13"/>
      <c r="I112" s="13"/>
      <c r="J112" s="13">
        <v>392332</v>
      </c>
      <c r="K112" s="13">
        <v>153159</v>
      </c>
      <c r="L112" s="13">
        <v>60000</v>
      </c>
      <c r="M112" s="13"/>
      <c r="N112" s="13"/>
      <c r="O112" s="36"/>
    </row>
    <row r="113" spans="1:15" ht="36" x14ac:dyDescent="0.25">
      <c r="A113" s="1"/>
      <c r="B113" s="10"/>
      <c r="C113" s="11" t="s">
        <v>171</v>
      </c>
      <c r="D113" s="16" t="s">
        <v>161</v>
      </c>
      <c r="E113" s="12">
        <v>360000</v>
      </c>
      <c r="F113" s="13"/>
      <c r="G113" s="13" t="e">
        <f>#REF!</f>
        <v>#REF!</v>
      </c>
      <c r="H113" s="13"/>
      <c r="I113" s="13"/>
      <c r="J113" s="13">
        <v>358595.1</v>
      </c>
      <c r="K113" s="13">
        <v>473337.59999999998</v>
      </c>
      <c r="L113" s="13">
        <v>180000</v>
      </c>
      <c r="M113" s="13"/>
      <c r="N113" s="13"/>
      <c r="O113" s="36"/>
    </row>
    <row r="114" spans="1:15" ht="18" x14ac:dyDescent="0.25">
      <c r="A114" s="1"/>
      <c r="B114" s="10"/>
      <c r="C114" s="11" t="s">
        <v>172</v>
      </c>
      <c r="D114" s="16" t="s">
        <v>162</v>
      </c>
      <c r="E114" s="12">
        <v>642000</v>
      </c>
      <c r="F114" s="13"/>
      <c r="G114" s="13">
        <f>'სოცი-საკასო 9 თვე'!G60</f>
        <v>212985</v>
      </c>
      <c r="H114" s="13"/>
      <c r="I114" s="13"/>
      <c r="J114" s="13">
        <v>176682.55</v>
      </c>
      <c r="K114" s="13"/>
      <c r="L114" s="13">
        <v>70804.509999999995</v>
      </c>
      <c r="M114" s="13"/>
      <c r="N114" s="13"/>
      <c r="O114" s="36"/>
    </row>
    <row r="115" spans="1:15" ht="36" x14ac:dyDescent="0.25">
      <c r="A115" s="1"/>
      <c r="B115" s="10"/>
      <c r="C115" s="11" t="s">
        <v>173</v>
      </c>
      <c r="D115" s="16" t="s">
        <v>135</v>
      </c>
      <c r="E115" s="12">
        <v>286000</v>
      </c>
      <c r="F115" s="13"/>
      <c r="G115" s="13">
        <f>'სოცი-საკასო 9 თვე'!G61</f>
        <v>4153439.7600000002</v>
      </c>
      <c r="H115" s="13"/>
      <c r="I115" s="13"/>
      <c r="J115" s="13">
        <v>212985</v>
      </c>
      <c r="K115" s="13"/>
      <c r="L115" s="13">
        <f>E115-J115</f>
        <v>73015</v>
      </c>
      <c r="M115" s="13"/>
      <c r="N115" s="13"/>
      <c r="O115" s="36"/>
    </row>
    <row r="116" spans="1:15" ht="30" x14ac:dyDescent="0.25">
      <c r="A116" s="1"/>
      <c r="B116" s="3" t="s">
        <v>174</v>
      </c>
      <c r="C116" s="7"/>
      <c r="D116" s="2" t="s">
        <v>175</v>
      </c>
      <c r="E116" s="8">
        <f>E117+E118+E119+E120+E121+E122+E123+E124+E125+E126+E128</f>
        <v>6000000</v>
      </c>
      <c r="F116" s="15">
        <f>'დაზუსტებული ბიუჯეტი-8,09,16'!M36</f>
        <v>6000000</v>
      </c>
      <c r="G116" s="8" t="e">
        <f>G117+G118+G119+G120+G121+G122+G123+G124+G125+G126+G128</f>
        <v>#REF!</v>
      </c>
      <c r="H116" s="142">
        <v>567340.6</v>
      </c>
      <c r="I116" s="143">
        <f>F116-H116</f>
        <v>5432659.4000000004</v>
      </c>
      <c r="J116" s="8">
        <f>J117+J118+J119+J120+J121+J122+J123+J124+J125+J126+J128</f>
        <v>4153439.7600000002</v>
      </c>
      <c r="K116" s="8">
        <f>K117+K118+K119+J120+J121+J122+J123+J124+J125+J126+J127+J128</f>
        <v>4156471.7</v>
      </c>
      <c r="L116" s="8">
        <f>L117+L118+L119+L120+L121+L122+L123+L124+L125+L126+L128</f>
        <v>1117762.81</v>
      </c>
      <c r="M116" s="141">
        <f>K116+L116</f>
        <v>5274234.51</v>
      </c>
      <c r="N116" s="18">
        <f>I116-M116</f>
        <v>158424.8900000006</v>
      </c>
      <c r="O116" s="38"/>
    </row>
    <row r="117" spans="1:15" ht="36" x14ac:dyDescent="0.25">
      <c r="B117" s="10"/>
      <c r="C117" s="11" t="s">
        <v>188</v>
      </c>
      <c r="D117" s="16" t="s">
        <v>176</v>
      </c>
      <c r="E117" s="12">
        <v>70000</v>
      </c>
      <c r="F117" s="12"/>
      <c r="G117" s="13" t="e">
        <f>#REF!</f>
        <v>#REF!</v>
      </c>
      <c r="H117" s="13"/>
      <c r="I117" s="13"/>
      <c r="J117" s="13">
        <v>51560.640000000007</v>
      </c>
      <c r="K117" s="13">
        <v>51560.640000000007</v>
      </c>
      <c r="L117" s="13">
        <v>17499</v>
      </c>
      <c r="M117" s="13"/>
      <c r="N117" s="13"/>
      <c r="O117" s="36"/>
    </row>
    <row r="118" spans="1:15" ht="54" x14ac:dyDescent="0.25">
      <c r="B118" s="10"/>
      <c r="C118" s="11" t="s">
        <v>189</v>
      </c>
      <c r="D118" s="16" t="s">
        <v>177</v>
      </c>
      <c r="E118" s="12">
        <v>200000</v>
      </c>
      <c r="F118" s="12"/>
      <c r="G118" s="13" t="e">
        <f>#REF!</f>
        <v>#REF!</v>
      </c>
      <c r="H118" s="13"/>
      <c r="I118" s="13"/>
      <c r="J118" s="13">
        <v>222044.09999999998</v>
      </c>
      <c r="K118" s="13">
        <v>225076.03999999998</v>
      </c>
      <c r="L118" s="13">
        <v>97500</v>
      </c>
      <c r="M118" s="13"/>
      <c r="N118" s="13"/>
      <c r="O118" s="36"/>
    </row>
    <row r="119" spans="1:15" ht="54" x14ac:dyDescent="0.25">
      <c r="B119" s="10"/>
      <c r="C119" s="11" t="s">
        <v>190</v>
      </c>
      <c r="D119" s="16" t="s">
        <v>178</v>
      </c>
      <c r="E119" s="12">
        <v>200000</v>
      </c>
      <c r="F119" s="12"/>
      <c r="G119" s="13" t="e">
        <f>#REF!</f>
        <v>#REF!</v>
      </c>
      <c r="H119" s="13"/>
      <c r="I119" s="13"/>
      <c r="J119" s="13">
        <v>105321.70000000001</v>
      </c>
      <c r="K119" s="13">
        <v>105321.70000000001</v>
      </c>
      <c r="L119" s="13">
        <v>45000</v>
      </c>
      <c r="M119" s="13"/>
      <c r="N119" s="13"/>
      <c r="O119" s="36"/>
    </row>
    <row r="120" spans="1:15" ht="36" x14ac:dyDescent="0.25">
      <c r="B120" s="10"/>
      <c r="C120" s="11" t="s">
        <v>191</v>
      </c>
      <c r="D120" s="16" t="s">
        <v>179</v>
      </c>
      <c r="E120" s="12">
        <v>3786500</v>
      </c>
      <c r="F120" s="12"/>
      <c r="G120" s="13">
        <f>'სოცი-საკასო 9 თვე'!G66</f>
        <v>166674.93</v>
      </c>
      <c r="H120" s="13"/>
      <c r="I120" s="13"/>
      <c r="J120" s="13">
        <v>2679178.65</v>
      </c>
      <c r="K120" s="13"/>
      <c r="L120" s="13">
        <v>577740</v>
      </c>
      <c r="M120" s="13"/>
      <c r="N120" s="13"/>
      <c r="O120" s="36"/>
    </row>
    <row r="121" spans="1:15" ht="36" x14ac:dyDescent="0.25">
      <c r="B121" s="10"/>
      <c r="C121" s="11" t="s">
        <v>192</v>
      </c>
      <c r="D121" s="16" t="s">
        <v>180</v>
      </c>
      <c r="E121" s="12">
        <v>320000</v>
      </c>
      <c r="F121" s="12"/>
      <c r="G121" s="13">
        <f>'სოცი-საკასო 9 თვე'!G67</f>
        <v>15870</v>
      </c>
      <c r="H121" s="13"/>
      <c r="I121" s="13"/>
      <c r="J121" s="13">
        <v>166674.93</v>
      </c>
      <c r="K121" s="13"/>
      <c r="L121" s="13">
        <v>136903.81</v>
      </c>
      <c r="M121" s="13"/>
      <c r="N121" s="13"/>
      <c r="O121" s="36"/>
    </row>
    <row r="122" spans="1:15" ht="36" x14ac:dyDescent="0.25">
      <c r="B122" s="10"/>
      <c r="C122" s="11" t="s">
        <v>193</v>
      </c>
      <c r="D122" s="16" t="s">
        <v>181</v>
      </c>
      <c r="E122" s="12">
        <v>61000</v>
      </c>
      <c r="F122" s="12"/>
      <c r="G122" s="13">
        <f>'სოცი-საკასო 9 თვე'!G68</f>
        <v>0</v>
      </c>
      <c r="H122" s="13"/>
      <c r="I122" s="13"/>
      <c r="J122" s="13">
        <v>15870</v>
      </c>
      <c r="K122" s="13"/>
      <c r="L122" s="13">
        <v>42320</v>
      </c>
      <c r="M122" s="13"/>
      <c r="N122" s="13"/>
      <c r="O122" s="36"/>
    </row>
    <row r="123" spans="1:15" ht="54" x14ac:dyDescent="0.25">
      <c r="B123" s="10"/>
      <c r="C123" s="11" t="s">
        <v>194</v>
      </c>
      <c r="D123" s="16" t="s">
        <v>182</v>
      </c>
      <c r="E123" s="12">
        <v>48000</v>
      </c>
      <c r="F123" s="12"/>
      <c r="G123" s="13">
        <f>'სოცი-საკასო 9 თვე'!G69</f>
        <v>206008.68</v>
      </c>
      <c r="H123" s="13"/>
      <c r="I123" s="13"/>
      <c r="J123" s="13">
        <v>0</v>
      </c>
      <c r="K123" s="13"/>
      <c r="L123" s="13"/>
      <c r="M123" s="13"/>
      <c r="N123" s="13"/>
      <c r="O123" s="36"/>
    </row>
    <row r="124" spans="1:15" ht="36" x14ac:dyDescent="0.25">
      <c r="B124" s="10"/>
      <c r="C124" s="11" t="s">
        <v>195</v>
      </c>
      <c r="D124" s="16" t="s">
        <v>183</v>
      </c>
      <c r="E124" s="12">
        <v>358500</v>
      </c>
      <c r="F124" s="12"/>
      <c r="G124" s="13">
        <f>'სოცი-საკასო 9 თვე'!G70</f>
        <v>348592.66000000003</v>
      </c>
      <c r="H124" s="13"/>
      <c r="I124" s="13"/>
      <c r="J124" s="13">
        <v>206008.68</v>
      </c>
      <c r="K124" s="13"/>
      <c r="L124" s="13">
        <v>146800</v>
      </c>
      <c r="M124" s="13"/>
      <c r="N124" s="13"/>
      <c r="O124" s="36"/>
    </row>
    <row r="125" spans="1:15" ht="36" x14ac:dyDescent="0.25">
      <c r="B125" s="10"/>
      <c r="C125" s="11" t="s">
        <v>196</v>
      </c>
      <c r="D125" s="16" t="s">
        <v>184</v>
      </c>
      <c r="E125" s="12">
        <v>521000</v>
      </c>
      <c r="F125" s="12"/>
      <c r="G125" s="13">
        <f>'სოცი-საკასო 9 თვე'!G71</f>
        <v>196188.4</v>
      </c>
      <c r="H125" s="13"/>
      <c r="I125" s="13"/>
      <c r="J125" s="13">
        <v>348592.66000000003</v>
      </c>
      <c r="K125" s="13"/>
      <c r="L125" s="13"/>
      <c r="M125" s="13"/>
      <c r="N125" s="13"/>
      <c r="O125" s="36"/>
    </row>
    <row r="126" spans="1:15" ht="36" x14ac:dyDescent="0.25">
      <c r="B126" s="10"/>
      <c r="C126" s="11" t="s">
        <v>197</v>
      </c>
      <c r="D126" s="16" t="s">
        <v>185</v>
      </c>
      <c r="E126" s="12">
        <v>219000</v>
      </c>
      <c r="F126" s="12"/>
      <c r="G126" s="13">
        <f>'სოცი-საკასო 9 თვე'!G72</f>
        <v>162000</v>
      </c>
      <c r="H126" s="13"/>
      <c r="I126" s="13"/>
      <c r="J126" s="13">
        <v>196188.4</v>
      </c>
      <c r="K126" s="13"/>
      <c r="L126" s="13"/>
      <c r="M126" s="13"/>
      <c r="N126" s="13"/>
      <c r="O126" s="36"/>
    </row>
    <row r="127" spans="1:15" ht="36" x14ac:dyDescent="0.25">
      <c r="B127" s="10"/>
      <c r="C127" s="11" t="s">
        <v>198</v>
      </c>
      <c r="D127" s="16" t="s">
        <v>186</v>
      </c>
      <c r="E127" s="12"/>
      <c r="F127" s="12"/>
      <c r="G127" s="13"/>
      <c r="H127" s="13"/>
      <c r="I127" s="13"/>
      <c r="J127" s="13">
        <v>0</v>
      </c>
      <c r="K127" s="13"/>
      <c r="L127" s="13"/>
      <c r="M127" s="13"/>
      <c r="N127" s="13"/>
      <c r="O127" s="36"/>
    </row>
    <row r="128" spans="1:15" s="14" customFormat="1" ht="36" x14ac:dyDescent="0.25">
      <c r="A128" s="9"/>
      <c r="B128" s="10"/>
      <c r="C128" s="11" t="s">
        <v>199</v>
      </c>
      <c r="D128" s="16" t="s">
        <v>187</v>
      </c>
      <c r="E128" s="12">
        <v>216000</v>
      </c>
      <c r="F128" s="12"/>
      <c r="G128" s="13">
        <f>'სოცი-საკასო 9 თვე'!G73</f>
        <v>5311303.87</v>
      </c>
      <c r="H128" s="13"/>
      <c r="I128" s="13"/>
      <c r="J128" s="13">
        <v>162000</v>
      </c>
      <c r="K128" s="13"/>
      <c r="L128" s="13">
        <f>E128-J128</f>
        <v>54000</v>
      </c>
      <c r="M128" s="13"/>
      <c r="N128" s="13"/>
      <c r="O128" s="36"/>
    </row>
    <row r="129" spans="1:15" ht="30" x14ac:dyDescent="0.25">
      <c r="B129" s="3" t="s">
        <v>200</v>
      </c>
      <c r="C129" s="7"/>
      <c r="D129" s="2" t="s">
        <v>3</v>
      </c>
      <c r="E129" s="8">
        <f>E130+E131+E132+E133+E134+E135</f>
        <v>33251000</v>
      </c>
      <c r="F129" s="15">
        <f>'დაზუსტებული ბიუჯეტი-8,09,16'!M37</f>
        <v>33251000</v>
      </c>
      <c r="G129" s="8" t="e">
        <f>G130+G131+G132+G133+G134+G135</f>
        <v>#REF!</v>
      </c>
      <c r="H129" s="142">
        <v>317503.26</v>
      </c>
      <c r="I129" s="143">
        <f>F129-H129</f>
        <v>32933496.739999998</v>
      </c>
      <c r="J129" s="8">
        <f>J130+J131+J132+J133+J134+J135</f>
        <v>19831603.870000001</v>
      </c>
      <c r="K129" s="8">
        <f>K130+K131+K132+K134+J135</f>
        <v>20184677.32</v>
      </c>
      <c r="L129" s="8">
        <f>L130+L131+L132+L133+L134+L135</f>
        <v>10265879.300000001</v>
      </c>
      <c r="M129" s="141">
        <f>K129+L129</f>
        <v>30450556.620000001</v>
      </c>
      <c r="N129" s="138">
        <f>I129-M129</f>
        <v>2482940.1199999973</v>
      </c>
      <c r="O129" s="38"/>
    </row>
    <row r="130" spans="1:15" ht="36" x14ac:dyDescent="0.25">
      <c r="B130" s="10"/>
      <c r="C130" s="11" t="s">
        <v>213</v>
      </c>
      <c r="D130" s="16" t="s">
        <v>201</v>
      </c>
      <c r="E130" s="12">
        <v>724600</v>
      </c>
      <c r="F130" s="12"/>
      <c r="G130" s="13" t="e">
        <f>#REF!</f>
        <v>#REF!</v>
      </c>
      <c r="H130" s="13"/>
      <c r="I130" s="13"/>
      <c r="J130" s="13">
        <v>543447</v>
      </c>
      <c r="K130" s="13">
        <v>543447</v>
      </c>
      <c r="L130" s="13">
        <v>181149</v>
      </c>
      <c r="M130" s="13"/>
      <c r="N130" s="13"/>
      <c r="O130" s="36"/>
    </row>
    <row r="131" spans="1:15" ht="18" x14ac:dyDescent="0.25">
      <c r="B131" s="10"/>
      <c r="C131" s="11" t="s">
        <v>214</v>
      </c>
      <c r="D131" s="16" t="s">
        <v>202</v>
      </c>
      <c r="E131" s="12">
        <v>8923200</v>
      </c>
      <c r="F131" s="12"/>
      <c r="G131" s="13" t="e">
        <f>#REF!</f>
        <v>#REF!</v>
      </c>
      <c r="H131" s="13"/>
      <c r="I131" s="13"/>
      <c r="J131" s="13">
        <v>4434707</v>
      </c>
      <c r="K131" s="13">
        <v>4784800</v>
      </c>
      <c r="L131" s="13">
        <v>1740000</v>
      </c>
      <c r="M131" s="13"/>
      <c r="N131" s="13"/>
      <c r="O131" s="36"/>
    </row>
    <row r="132" spans="1:15" ht="90" x14ac:dyDescent="0.25">
      <c r="B132" s="10"/>
      <c r="C132" s="11" t="s">
        <v>215</v>
      </c>
      <c r="D132" s="16" t="s">
        <v>203</v>
      </c>
      <c r="E132" s="12">
        <v>444200</v>
      </c>
      <c r="F132" s="12"/>
      <c r="G132" s="13" t="e">
        <f>#REF!</f>
        <v>#REF!</v>
      </c>
      <c r="H132" s="13"/>
      <c r="I132" s="13"/>
      <c r="J132" s="13">
        <v>333149.87</v>
      </c>
      <c r="K132" s="13">
        <v>333149.96999999997</v>
      </c>
      <c r="L132" s="13">
        <v>111049.95000000001</v>
      </c>
      <c r="M132" s="13"/>
      <c r="N132" s="13"/>
      <c r="O132" s="36"/>
    </row>
    <row r="133" spans="1:15" s="14" customFormat="1" ht="72" x14ac:dyDescent="0.25">
      <c r="A133" s="9"/>
      <c r="B133" s="10"/>
      <c r="C133" s="11" t="s">
        <v>216</v>
      </c>
      <c r="D133" s="16" t="s">
        <v>204</v>
      </c>
      <c r="E133" s="12">
        <v>400000</v>
      </c>
      <c r="F133" s="12"/>
      <c r="G133" s="13" t="e">
        <f>#REF!</f>
        <v>#REF!</v>
      </c>
      <c r="H133" s="13"/>
      <c r="I133" s="13"/>
      <c r="J133" s="13">
        <v>0</v>
      </c>
      <c r="K133" s="13"/>
      <c r="L133" s="13"/>
      <c r="M133" s="13"/>
      <c r="N133" s="13"/>
      <c r="O133" s="36"/>
    </row>
    <row r="134" spans="1:15" ht="54" x14ac:dyDescent="0.25">
      <c r="B134" s="10"/>
      <c r="C134" s="11" t="s">
        <v>217</v>
      </c>
      <c r="D134" s="16" t="s">
        <v>205</v>
      </c>
      <c r="E134" s="12">
        <v>8000</v>
      </c>
      <c r="F134" s="12"/>
      <c r="G134" s="13" t="e">
        <f>#REF!</f>
        <v>#REF!</v>
      </c>
      <c r="H134" s="13"/>
      <c r="I134" s="13"/>
      <c r="J134" s="13">
        <v>0</v>
      </c>
      <c r="K134" s="13">
        <v>2980.35</v>
      </c>
      <c r="L134" s="13">
        <v>2980.35</v>
      </c>
      <c r="M134" s="13"/>
      <c r="N134" s="13"/>
      <c r="O134" s="36"/>
    </row>
    <row r="135" spans="1:15" s="14" customFormat="1" ht="18" x14ac:dyDescent="0.25">
      <c r="A135" s="9"/>
      <c r="B135" s="10"/>
      <c r="C135" s="11" t="s">
        <v>218</v>
      </c>
      <c r="D135" s="16" t="s">
        <v>206</v>
      </c>
      <c r="E135" s="12">
        <v>22751000</v>
      </c>
      <c r="F135" s="15">
        <v>22751000</v>
      </c>
      <c r="G135" s="13"/>
      <c r="H135" s="13"/>
      <c r="I135" s="13"/>
      <c r="J135" s="13">
        <v>14520300</v>
      </c>
      <c r="K135" s="13"/>
      <c r="L135" s="12">
        <f>F135-J135</f>
        <v>8230700</v>
      </c>
      <c r="M135" s="12"/>
      <c r="N135" s="13"/>
      <c r="O135" s="36"/>
    </row>
    <row r="136" spans="1:15" s="14" customFormat="1" ht="21" x14ac:dyDescent="0.25">
      <c r="A136" s="24"/>
      <c r="B136" s="3" t="s">
        <v>208</v>
      </c>
      <c r="C136" s="7"/>
      <c r="D136" s="2" t="s">
        <v>207</v>
      </c>
      <c r="E136" s="8">
        <f>E137+E138+E139+E140</f>
        <v>26000000</v>
      </c>
      <c r="F136" s="15">
        <f>'დაზუსტებული ბიუჯეტი-8,09,16'!M40</f>
        <v>26000000</v>
      </c>
      <c r="G136" s="8" t="e">
        <f>G137+G138+G139+G140</f>
        <v>#REF!</v>
      </c>
      <c r="H136" s="142">
        <v>37026.800000000003</v>
      </c>
      <c r="I136" s="143">
        <f>F136-H136</f>
        <v>25962973.199999999</v>
      </c>
      <c r="J136" s="8">
        <f>J137+J138+J139+J140</f>
        <v>18005535.710000001</v>
      </c>
      <c r="K136" s="8">
        <f>K137+K138+K139+K140</f>
        <v>18082315.670000002</v>
      </c>
      <c r="L136" s="8">
        <f>L137+L138+L139+L140</f>
        <v>6462336.3399999999</v>
      </c>
      <c r="M136" s="141">
        <f>K136+L136</f>
        <v>24544652.010000002</v>
      </c>
      <c r="N136" s="18">
        <f>I136-M136</f>
        <v>1418321.1899999976</v>
      </c>
      <c r="O136" s="38"/>
    </row>
    <row r="137" spans="1:15" s="14" customFormat="1" ht="90" x14ac:dyDescent="0.25">
      <c r="A137" s="24"/>
      <c r="B137" s="10"/>
      <c r="C137" s="11" t="s">
        <v>219</v>
      </c>
      <c r="D137" s="16" t="s">
        <v>209</v>
      </c>
      <c r="E137" s="12">
        <v>19765200</v>
      </c>
      <c r="F137" s="12"/>
      <c r="G137" s="13" t="e">
        <f>#REF!</f>
        <v>#REF!</v>
      </c>
      <c r="H137" s="13"/>
      <c r="I137" s="13"/>
      <c r="J137" s="13">
        <v>13788196.27</v>
      </c>
      <c r="K137" s="13">
        <v>13788699.5</v>
      </c>
      <c r="L137" s="13">
        <v>4610775</v>
      </c>
      <c r="M137" s="13"/>
      <c r="N137" s="13"/>
      <c r="O137" s="36"/>
    </row>
    <row r="138" spans="1:15" s="14" customFormat="1" ht="36" x14ac:dyDescent="0.25">
      <c r="A138" s="24"/>
      <c r="B138" s="10"/>
      <c r="C138" s="11" t="s">
        <v>220</v>
      </c>
      <c r="D138" s="16" t="s">
        <v>210</v>
      </c>
      <c r="E138" s="12">
        <v>3675600</v>
      </c>
      <c r="F138" s="12"/>
      <c r="G138" s="13" t="e">
        <f>#REF!</f>
        <v>#REF!</v>
      </c>
      <c r="H138" s="13"/>
      <c r="I138" s="13"/>
      <c r="J138" s="13">
        <v>2755476</v>
      </c>
      <c r="K138" s="13">
        <v>2755476</v>
      </c>
      <c r="L138" s="13">
        <v>920112</v>
      </c>
      <c r="M138" s="13"/>
      <c r="N138" s="13"/>
      <c r="O138" s="36"/>
    </row>
    <row r="139" spans="1:15" s="14" customFormat="1" ht="36" x14ac:dyDescent="0.25">
      <c r="A139" s="24"/>
      <c r="B139" s="10"/>
      <c r="C139" s="11" t="s">
        <v>221</v>
      </c>
      <c r="D139" s="16" t="s">
        <v>211</v>
      </c>
      <c r="E139" s="12">
        <v>213200</v>
      </c>
      <c r="F139" s="12"/>
      <c r="G139" s="13" t="e">
        <f>#REF!</f>
        <v>#REF!</v>
      </c>
      <c r="H139" s="13"/>
      <c r="I139" s="13"/>
      <c r="J139" s="13">
        <v>164427</v>
      </c>
      <c r="K139" s="13">
        <v>164427</v>
      </c>
      <c r="L139" s="13">
        <v>48739</v>
      </c>
      <c r="M139" s="13"/>
      <c r="N139" s="13"/>
      <c r="O139" s="36"/>
    </row>
    <row r="140" spans="1:15" s="14" customFormat="1" ht="54" x14ac:dyDescent="0.25">
      <c r="A140" s="24"/>
      <c r="B140" s="10"/>
      <c r="C140" s="11" t="s">
        <v>222</v>
      </c>
      <c r="D140" s="16" t="s">
        <v>212</v>
      </c>
      <c r="E140" s="12">
        <v>2346000</v>
      </c>
      <c r="F140" s="12"/>
      <c r="G140" s="13" t="e">
        <f>#REF!</f>
        <v>#REF!</v>
      </c>
      <c r="H140" s="13"/>
      <c r="I140" s="13"/>
      <c r="J140" s="13">
        <v>1297436.4400000002</v>
      </c>
      <c r="K140" s="13">
        <v>1373713.1700000002</v>
      </c>
      <c r="L140" s="13">
        <v>882710.33999999985</v>
      </c>
      <c r="M140" s="13"/>
      <c r="N140" s="13"/>
      <c r="O140" s="36"/>
    </row>
    <row r="141" spans="1:15" s="14" customFormat="1" ht="21" x14ac:dyDescent="0.25">
      <c r="A141" s="24"/>
      <c r="B141" s="3" t="s">
        <v>224</v>
      </c>
      <c r="C141" s="7"/>
      <c r="D141" s="2" t="s">
        <v>223</v>
      </c>
      <c r="E141" s="8">
        <f>E142+E143+E144+E145</f>
        <v>20000000</v>
      </c>
      <c r="F141" s="15">
        <v>25000000</v>
      </c>
      <c r="G141" s="8" t="e">
        <f>G142+G143+G144+G145</f>
        <v>#REF!</v>
      </c>
      <c r="H141" s="8"/>
      <c r="I141" s="143">
        <f>F141-H141</f>
        <v>25000000</v>
      </c>
      <c r="J141" s="8">
        <f>J142+J143+J144+J145</f>
        <v>19723744.379999999</v>
      </c>
      <c r="K141" s="8">
        <f>K142+K143+K144+J145</f>
        <v>21351839.16</v>
      </c>
      <c r="L141" s="8">
        <f>L142+L143+L144+L145</f>
        <v>5180499</v>
      </c>
      <c r="M141" s="141">
        <f>K141+L141</f>
        <v>26532338.16</v>
      </c>
      <c r="N141" s="18">
        <f>I141-M141</f>
        <v>-1532338.1600000001</v>
      </c>
      <c r="O141" s="38"/>
    </row>
    <row r="142" spans="1:15" s="14" customFormat="1" ht="72" x14ac:dyDescent="0.25">
      <c r="A142" s="24"/>
      <c r="B142" s="10"/>
      <c r="C142" s="11" t="s">
        <v>229</v>
      </c>
      <c r="D142" s="16" t="s">
        <v>225</v>
      </c>
      <c r="E142" s="12">
        <v>19665000</v>
      </c>
      <c r="F142" s="13"/>
      <c r="G142" s="13" t="e">
        <f>#REF!</f>
        <v>#REF!</v>
      </c>
      <c r="H142" s="13"/>
      <c r="I142" s="13"/>
      <c r="J142" s="13">
        <v>19486851.07</v>
      </c>
      <c r="K142" s="13">
        <v>21114946.84</v>
      </c>
      <c r="L142" s="13">
        <v>5100000</v>
      </c>
      <c r="M142" s="13"/>
      <c r="N142" s="13"/>
      <c r="O142" s="36"/>
    </row>
    <row r="143" spans="1:15" s="14" customFormat="1" ht="72" x14ac:dyDescent="0.25">
      <c r="A143" s="24"/>
      <c r="B143" s="10"/>
      <c r="C143" s="11" t="s">
        <v>230</v>
      </c>
      <c r="D143" s="16" t="s">
        <v>226</v>
      </c>
      <c r="E143" s="12">
        <v>310000</v>
      </c>
      <c r="F143" s="13"/>
      <c r="G143" s="13" t="e">
        <f>#REF!</f>
        <v>#REF!</v>
      </c>
      <c r="H143" s="13"/>
      <c r="I143" s="13"/>
      <c r="J143" s="13">
        <v>232333.31000000006</v>
      </c>
      <c r="K143" s="13">
        <v>232332.32</v>
      </c>
      <c r="L143" s="13">
        <v>77499</v>
      </c>
      <c r="M143" s="13"/>
      <c r="N143" s="13"/>
      <c r="O143" s="36"/>
    </row>
    <row r="144" spans="1:15" s="14" customFormat="1" ht="36" x14ac:dyDescent="0.25">
      <c r="A144" s="24"/>
      <c r="B144" s="10"/>
      <c r="C144" s="11" t="s">
        <v>231</v>
      </c>
      <c r="D144" s="16" t="s">
        <v>227</v>
      </c>
      <c r="E144" s="12">
        <v>5000</v>
      </c>
      <c r="F144" s="13"/>
      <c r="G144" s="13" t="e">
        <f>#REF!</f>
        <v>#REF!</v>
      </c>
      <c r="H144" s="13"/>
      <c r="I144" s="13"/>
      <c r="J144" s="13">
        <v>3360</v>
      </c>
      <c r="K144" s="13">
        <v>3360</v>
      </c>
      <c r="L144" s="13">
        <v>0</v>
      </c>
      <c r="M144" s="13"/>
      <c r="N144" s="13"/>
      <c r="O144" s="36"/>
    </row>
    <row r="145" spans="1:15" s="14" customFormat="1" ht="18" x14ac:dyDescent="0.25">
      <c r="A145" s="24"/>
      <c r="B145" s="10"/>
      <c r="C145" s="11" t="s">
        <v>232</v>
      </c>
      <c r="D145" s="16" t="s">
        <v>228</v>
      </c>
      <c r="E145" s="12">
        <v>20000</v>
      </c>
      <c r="F145" s="13"/>
      <c r="G145" s="13" t="e">
        <f>#REF!</f>
        <v>#REF!</v>
      </c>
      <c r="H145" s="13"/>
      <c r="I145" s="13"/>
      <c r="J145" s="13">
        <v>1200</v>
      </c>
      <c r="K145" s="13"/>
      <c r="L145" s="13">
        <v>3000</v>
      </c>
      <c r="M145" s="13"/>
      <c r="N145" s="13"/>
      <c r="O145" s="36"/>
    </row>
    <row r="146" spans="1:15" s="14" customFormat="1" ht="21" x14ac:dyDescent="0.25">
      <c r="A146" s="24"/>
      <c r="B146" s="3" t="s">
        <v>236</v>
      </c>
      <c r="C146" s="7"/>
      <c r="D146" s="2" t="s">
        <v>233</v>
      </c>
      <c r="E146" s="8">
        <f>E147+E148</f>
        <v>1000000</v>
      </c>
      <c r="F146" s="15">
        <f>'დაზუსტებული ბიუჯეტი-8,09,16'!M42</f>
        <v>1000000</v>
      </c>
      <c r="G146" s="8" t="e">
        <f>G147+G148</f>
        <v>#REF!</v>
      </c>
      <c r="H146" s="8"/>
      <c r="I146" s="143">
        <f>F146-H146</f>
        <v>1000000</v>
      </c>
      <c r="J146" s="8">
        <f>J147+J148</f>
        <v>495684.57</v>
      </c>
      <c r="K146" s="8">
        <f>K147+K148</f>
        <v>495823.85000000003</v>
      </c>
      <c r="L146" s="8">
        <f>L147+L148</f>
        <v>255000</v>
      </c>
      <c r="M146" s="141">
        <f>K146+L146</f>
        <v>750823.85000000009</v>
      </c>
      <c r="N146" s="18">
        <f>I146-M146</f>
        <v>249176.14999999991</v>
      </c>
      <c r="O146" s="38"/>
    </row>
    <row r="147" spans="1:15" s="14" customFormat="1" ht="36" x14ac:dyDescent="0.25">
      <c r="A147" s="24"/>
      <c r="B147" s="10"/>
      <c r="C147" s="11" t="s">
        <v>237</v>
      </c>
      <c r="D147" s="16" t="s">
        <v>234</v>
      </c>
      <c r="E147" s="12">
        <v>800000</v>
      </c>
      <c r="F147" s="12"/>
      <c r="G147" s="13" t="e">
        <f>#REF!</f>
        <v>#REF!</v>
      </c>
      <c r="H147" s="13"/>
      <c r="I147" s="13"/>
      <c r="J147" s="13">
        <v>412680.47000000003</v>
      </c>
      <c r="K147" s="13">
        <v>412680.47000000003</v>
      </c>
      <c r="L147" s="13">
        <v>195000</v>
      </c>
      <c r="M147" s="13"/>
      <c r="N147" s="13"/>
      <c r="O147" s="36"/>
    </row>
    <row r="148" spans="1:15" s="14" customFormat="1" ht="36" x14ac:dyDescent="0.25">
      <c r="A148" s="24"/>
      <c r="B148" s="10"/>
      <c r="C148" s="11" t="s">
        <v>238</v>
      </c>
      <c r="D148" s="16" t="s">
        <v>235</v>
      </c>
      <c r="E148" s="12">
        <v>200000</v>
      </c>
      <c r="F148" s="12"/>
      <c r="G148" s="13" t="e">
        <f>#REF!</f>
        <v>#REF!</v>
      </c>
      <c r="H148" s="13"/>
      <c r="I148" s="13"/>
      <c r="J148" s="13">
        <v>83004.099999999991</v>
      </c>
      <c r="K148" s="13">
        <v>83143.37999999999</v>
      </c>
      <c r="L148" s="13">
        <v>60000</v>
      </c>
      <c r="M148" s="13"/>
      <c r="N148" s="13"/>
      <c r="O148" s="36"/>
    </row>
    <row r="149" spans="1:15" s="14" customFormat="1" ht="18" hidden="1" x14ac:dyDescent="0.25">
      <c r="A149" s="24"/>
      <c r="B149" s="19" t="s">
        <v>239</v>
      </c>
      <c r="C149" s="20"/>
      <c r="D149" s="21" t="s">
        <v>240</v>
      </c>
      <c r="E149" s="22"/>
      <c r="F149" s="22"/>
      <c r="G149" s="23"/>
      <c r="H149" s="23"/>
      <c r="I149" s="23"/>
      <c r="J149" s="23"/>
      <c r="K149" s="23"/>
      <c r="L149" s="23"/>
      <c r="M149" s="23"/>
      <c r="N149" s="23"/>
      <c r="O149" s="33"/>
    </row>
    <row r="150" spans="1:15" ht="54" hidden="1" x14ac:dyDescent="0.25">
      <c r="B150" s="10"/>
      <c r="C150" s="11" t="s">
        <v>242</v>
      </c>
      <c r="D150" s="16" t="s">
        <v>241</v>
      </c>
      <c r="E150" s="12"/>
      <c r="F150" s="13"/>
      <c r="G150" s="13"/>
      <c r="H150" s="13"/>
      <c r="I150" s="13"/>
      <c r="J150" s="13"/>
      <c r="K150" s="13"/>
      <c r="L150" s="13"/>
      <c r="M150" s="13"/>
      <c r="N150" s="13"/>
      <c r="O150" s="36"/>
    </row>
    <row r="151" spans="1:15" x14ac:dyDescent="0.25">
      <c r="N151" s="140">
        <f>SUM(N10:N148)</f>
        <v>1678009.3374999971</v>
      </c>
    </row>
    <row r="152" spans="1:15" x14ac:dyDescent="0.25">
      <c r="N152" s="140"/>
    </row>
    <row r="153" spans="1:15" x14ac:dyDescent="0.25">
      <c r="N153" s="140">
        <f>N151-N129</f>
        <v>-804930.7825000002</v>
      </c>
    </row>
  </sheetData>
  <mergeCells count="14">
    <mergeCell ref="A4:A6"/>
    <mergeCell ref="B4:B6"/>
    <mergeCell ref="C4:C6"/>
    <mergeCell ref="D4:D6"/>
    <mergeCell ref="E4:E6"/>
    <mergeCell ref="F4:F6"/>
    <mergeCell ref="G4:G6"/>
    <mergeCell ref="N4:N6"/>
    <mergeCell ref="L4:L6"/>
    <mergeCell ref="M4:M6"/>
    <mergeCell ref="J4:J6"/>
    <mergeCell ref="H4:H6"/>
    <mergeCell ref="I4:I6"/>
    <mergeCell ref="K4:K6"/>
  </mergeCells>
  <printOptions horizontalCentered="1"/>
  <pageMargins left="0.11811023622047245" right="0.11811023622047245" top="0.15748031496062992" bottom="0.15748031496062992" header="0" footer="0"/>
  <pageSetup paperSize="9" scale="51" fitToHeight="50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61"/>
  <sheetViews>
    <sheetView topLeftCell="A10" workbookViewId="0">
      <selection activeCell="A46" sqref="A1:XFD1048576"/>
    </sheetView>
  </sheetViews>
  <sheetFormatPr defaultRowHeight="15" x14ac:dyDescent="0.25"/>
  <cols>
    <col min="1" max="1" width="4.28515625" customWidth="1"/>
    <col min="2" max="2" width="14.140625" customWidth="1"/>
    <col min="3" max="3" width="31.28515625" customWidth="1"/>
    <col min="4" max="4" width="16.42578125" customWidth="1"/>
    <col min="5" max="5" width="17.42578125" customWidth="1"/>
    <col min="6" max="7" width="13.5703125" customWidth="1"/>
    <col min="8" max="9" width="12.7109375" customWidth="1"/>
    <col min="10" max="10" width="13.140625" customWidth="1"/>
    <col min="11" max="11" width="11.140625" bestFit="1" customWidth="1"/>
  </cols>
  <sheetData>
    <row r="2" spans="2:14" ht="47.25" customHeight="1" x14ac:dyDescent="0.25">
      <c r="C2" s="253" t="s">
        <v>448</v>
      </c>
      <c r="D2" s="253"/>
      <c r="E2" s="253"/>
      <c r="F2" s="253"/>
      <c r="G2" s="253"/>
      <c r="H2" s="253"/>
      <c r="I2" s="254"/>
    </row>
    <row r="3" spans="2:14" ht="15.75" thickBot="1" x14ac:dyDescent="0.3">
      <c r="I3" t="s">
        <v>449</v>
      </c>
    </row>
    <row r="4" spans="2:14" ht="69" customHeight="1" thickBot="1" x14ac:dyDescent="0.3">
      <c r="B4" s="152" t="s">
        <v>450</v>
      </c>
      <c r="C4" s="153" t="s">
        <v>324</v>
      </c>
      <c r="D4" s="153" t="s">
        <v>451</v>
      </c>
      <c r="E4" s="153" t="s">
        <v>452</v>
      </c>
      <c r="F4" s="153" t="s">
        <v>453</v>
      </c>
      <c r="G4" s="153"/>
      <c r="H4" s="153" t="s">
        <v>454</v>
      </c>
      <c r="I4" s="154" t="s">
        <v>455</v>
      </c>
      <c r="J4" s="155" t="s">
        <v>456</v>
      </c>
    </row>
    <row r="5" spans="2:14" ht="69" customHeight="1" thickBot="1" x14ac:dyDescent="0.3">
      <c r="B5" s="156" t="s">
        <v>457</v>
      </c>
      <c r="C5" s="156" t="s">
        <v>458</v>
      </c>
      <c r="D5" s="156">
        <f>D6+D13+D12</f>
        <v>7260003</v>
      </c>
      <c r="E5" s="156">
        <f t="shared" ref="E5:J5" si="0">E6+E13+E12</f>
        <v>4958008.1399999997</v>
      </c>
      <c r="F5" s="156">
        <f t="shared" si="0"/>
        <v>426344.04</v>
      </c>
      <c r="G5" s="156"/>
      <c r="H5" s="156">
        <f t="shared" si="0"/>
        <v>1837851</v>
      </c>
      <c r="I5" s="156">
        <f t="shared" si="0"/>
        <v>37796.959999999999</v>
      </c>
      <c r="J5" s="156">
        <f t="shared" si="0"/>
        <v>2.8599999999996726</v>
      </c>
    </row>
    <row r="6" spans="2:14" ht="69" customHeight="1" thickBot="1" x14ac:dyDescent="0.3">
      <c r="B6" s="157" t="s">
        <v>459</v>
      </c>
      <c r="C6" s="158" t="s">
        <v>460</v>
      </c>
      <c r="D6" s="153">
        <f>D7+D8+D9+D10+D11</f>
        <v>7112729</v>
      </c>
      <c r="E6" s="159">
        <f>E7+E8+E9+E10+E11</f>
        <v>4853118</v>
      </c>
      <c r="F6" s="153">
        <f t="shared" ref="F6:J6" si="1">F7+F8+F9+F10+F11</f>
        <v>384516</v>
      </c>
      <c r="G6" s="153"/>
      <c r="H6" s="153">
        <f t="shared" si="1"/>
        <v>1837851</v>
      </c>
      <c r="I6" s="153">
        <f t="shared" si="1"/>
        <v>37244</v>
      </c>
      <c r="J6" s="153">
        <f t="shared" si="1"/>
        <v>0</v>
      </c>
    </row>
    <row r="7" spans="2:14" ht="69" customHeight="1" thickBot="1" x14ac:dyDescent="0.3">
      <c r="B7" s="157" t="s">
        <v>459</v>
      </c>
      <c r="C7" s="158" t="s">
        <v>461</v>
      </c>
      <c r="D7" s="153">
        <v>3128000</v>
      </c>
      <c r="E7" s="159">
        <v>2076813</v>
      </c>
      <c r="F7" s="153">
        <v>255000</v>
      </c>
      <c r="G7" s="153"/>
      <c r="H7" s="153">
        <v>796187</v>
      </c>
      <c r="I7" s="154"/>
      <c r="J7" s="154">
        <f t="shared" ref="J7:J13" si="2">D7-E7-F7-H7-I7</f>
        <v>0</v>
      </c>
    </row>
    <row r="8" spans="2:14" ht="69" customHeight="1" thickBot="1" x14ac:dyDescent="0.3">
      <c r="B8" s="157" t="s">
        <v>459</v>
      </c>
      <c r="C8" s="158" t="s">
        <v>462</v>
      </c>
      <c r="D8" s="153">
        <v>3853729</v>
      </c>
      <c r="E8" s="159">
        <v>2694039</v>
      </c>
      <c r="F8" s="153">
        <v>120000</v>
      </c>
      <c r="G8" s="153"/>
      <c r="H8" s="153">
        <v>1032568</v>
      </c>
      <c r="I8" s="154">
        <v>27122</v>
      </c>
      <c r="J8" s="154">
        <f t="shared" si="2"/>
        <v>-20000</v>
      </c>
    </row>
    <row r="9" spans="2:14" ht="69" customHeight="1" thickBot="1" x14ac:dyDescent="0.3">
      <c r="B9" s="157" t="s">
        <v>459</v>
      </c>
      <c r="C9" s="158" t="s">
        <v>463</v>
      </c>
      <c r="D9" s="153">
        <v>20000</v>
      </c>
      <c r="E9" s="159"/>
      <c r="F9" s="153"/>
      <c r="G9" s="153"/>
      <c r="H9" s="153"/>
      <c r="I9" s="154"/>
      <c r="J9" s="154">
        <f t="shared" si="2"/>
        <v>20000</v>
      </c>
    </row>
    <row r="10" spans="2:14" ht="69" customHeight="1" thickBot="1" x14ac:dyDescent="0.3">
      <c r="B10" s="157" t="s">
        <v>459</v>
      </c>
      <c r="C10" s="158" t="s">
        <v>464</v>
      </c>
      <c r="D10" s="153">
        <v>62000</v>
      </c>
      <c r="E10" s="159">
        <v>47904</v>
      </c>
      <c r="F10" s="153">
        <v>5000</v>
      </c>
      <c r="G10" s="153"/>
      <c r="H10" s="153">
        <v>9096</v>
      </c>
      <c r="I10" s="154"/>
      <c r="J10" s="154">
        <f t="shared" si="2"/>
        <v>0</v>
      </c>
    </row>
    <row r="11" spans="2:14" ht="69" customHeight="1" thickBot="1" x14ac:dyDescent="0.3">
      <c r="B11" s="157" t="s">
        <v>459</v>
      </c>
      <c r="C11" s="158" t="s">
        <v>465</v>
      </c>
      <c r="D11" s="153">
        <v>49000</v>
      </c>
      <c r="E11" s="153">
        <v>34362</v>
      </c>
      <c r="F11" s="153">
        <v>4516</v>
      </c>
      <c r="G11" s="153"/>
      <c r="H11" s="153"/>
      <c r="I11" s="154">
        <v>10122</v>
      </c>
      <c r="J11" s="154">
        <f t="shared" si="2"/>
        <v>0</v>
      </c>
    </row>
    <row r="12" spans="2:14" ht="69" customHeight="1" thickBot="1" x14ac:dyDescent="0.3">
      <c r="B12" s="157" t="s">
        <v>459</v>
      </c>
      <c r="C12" s="158" t="s">
        <v>466</v>
      </c>
      <c r="D12" s="153">
        <v>112037</v>
      </c>
      <c r="E12" s="153">
        <v>69656</v>
      </c>
      <c r="F12" s="153">
        <v>41828.04</v>
      </c>
      <c r="G12" s="153"/>
      <c r="H12" s="153"/>
      <c r="I12" s="154">
        <v>552.96</v>
      </c>
      <c r="J12" s="154">
        <f t="shared" si="2"/>
        <v>-9.0949470177292824E-13</v>
      </c>
    </row>
    <row r="13" spans="2:14" ht="69" customHeight="1" thickBot="1" x14ac:dyDescent="0.3">
      <c r="B13" s="157"/>
      <c r="C13" s="158" t="s">
        <v>467</v>
      </c>
      <c r="D13" s="153">
        <v>35237</v>
      </c>
      <c r="E13" s="153">
        <v>35234.14</v>
      </c>
      <c r="F13" s="153"/>
      <c r="G13" s="153"/>
      <c r="H13" s="153"/>
      <c r="I13" s="154"/>
      <c r="J13" s="154">
        <f t="shared" si="2"/>
        <v>2.8600000000005821</v>
      </c>
    </row>
    <row r="14" spans="2:14" ht="32.25" customHeight="1" thickBot="1" x14ac:dyDescent="0.3">
      <c r="B14" s="160" t="s">
        <v>10</v>
      </c>
      <c r="C14" s="156" t="s">
        <v>11</v>
      </c>
      <c r="D14" s="161">
        <f>D15</f>
        <v>1920000</v>
      </c>
      <c r="E14" s="161">
        <f>E15</f>
        <v>1165244</v>
      </c>
      <c r="F14" s="161">
        <f t="shared" ref="F14:I14" si="3">F15</f>
        <v>150000</v>
      </c>
      <c r="G14" s="161">
        <f>E14+F14</f>
        <v>1315244</v>
      </c>
      <c r="H14" s="161">
        <f t="shared" si="3"/>
        <v>554046</v>
      </c>
      <c r="I14" s="162">
        <f t="shared" si="3"/>
        <v>44710</v>
      </c>
      <c r="J14" s="161">
        <f>SUM(J15:J15)</f>
        <v>6000</v>
      </c>
    </row>
    <row r="15" spans="2:14" ht="30.75" thickBot="1" x14ac:dyDescent="0.3">
      <c r="B15" s="163"/>
      <c r="C15" s="157" t="s">
        <v>462</v>
      </c>
      <c r="D15" s="164">
        <v>1920000</v>
      </c>
      <c r="E15" s="164">
        <v>1165244</v>
      </c>
      <c r="F15" s="165">
        <v>150000</v>
      </c>
      <c r="G15" s="165"/>
      <c r="H15" s="165">
        <v>554046</v>
      </c>
      <c r="I15" s="166">
        <v>44710</v>
      </c>
      <c r="J15" s="165">
        <f>D15-(E15+F15+H15+I15)</f>
        <v>6000</v>
      </c>
      <c r="K15" s="167"/>
      <c r="M15" s="167"/>
      <c r="N15" s="167"/>
    </row>
    <row r="16" spans="2:14" ht="23.25" customHeight="1" thickBot="1" x14ac:dyDescent="0.3">
      <c r="B16" s="160" t="s">
        <v>18</v>
      </c>
      <c r="C16" s="168" t="s">
        <v>468</v>
      </c>
      <c r="D16" s="161">
        <f>D17+D18</f>
        <v>15410000</v>
      </c>
      <c r="E16" s="161">
        <f>E17+E18</f>
        <v>11851240</v>
      </c>
      <c r="F16" s="161">
        <f t="shared" ref="F16:J16" si="4">F17+F18</f>
        <v>500</v>
      </c>
      <c r="G16" s="161">
        <f>E16+F16</f>
        <v>11851740</v>
      </c>
      <c r="H16" s="161">
        <f t="shared" si="4"/>
        <v>4648043.5</v>
      </c>
      <c r="I16" s="161">
        <f t="shared" si="4"/>
        <v>46216</v>
      </c>
      <c r="J16" s="161">
        <f t="shared" si="4"/>
        <v>-1135999.5</v>
      </c>
    </row>
    <row r="17" spans="2:11" ht="30.75" thickBot="1" x14ac:dyDescent="0.3">
      <c r="B17" s="255"/>
      <c r="C17" s="157" t="s">
        <v>462</v>
      </c>
      <c r="D17" s="164">
        <v>15370000</v>
      </c>
      <c r="E17" s="165">
        <f>11847416</f>
        <v>11847416</v>
      </c>
      <c r="F17" s="165"/>
      <c r="G17" s="165"/>
      <c r="H17" s="165">
        <f>4632583.5-1216</f>
        <v>4631367.5</v>
      </c>
      <c r="I17" s="166">
        <v>46216</v>
      </c>
      <c r="J17" s="165">
        <f>D17-(E17+F17+H17+I17)</f>
        <v>-1154999.5</v>
      </c>
      <c r="K17" s="167"/>
    </row>
    <row r="18" spans="2:11" ht="30" customHeight="1" thickBot="1" x14ac:dyDescent="0.3">
      <c r="B18" s="256"/>
      <c r="C18" s="157" t="s">
        <v>464</v>
      </c>
      <c r="D18" s="164">
        <v>40000</v>
      </c>
      <c r="E18" s="164">
        <v>3824</v>
      </c>
      <c r="F18" s="164">
        <v>500</v>
      </c>
      <c r="G18" s="164"/>
      <c r="H18" s="164">
        <v>16676</v>
      </c>
      <c r="I18" s="166"/>
      <c r="J18" s="165">
        <f>D18-(E18+F18+H18+I18)</f>
        <v>19000</v>
      </c>
    </row>
    <row r="19" spans="2:11" ht="15.75" thickBot="1" x14ac:dyDescent="0.3">
      <c r="B19" s="160" t="s">
        <v>28</v>
      </c>
      <c r="C19" s="156" t="s">
        <v>27</v>
      </c>
      <c r="D19" s="161">
        <f>D20</f>
        <v>1700000</v>
      </c>
      <c r="E19" s="161">
        <f t="shared" ref="E19:I19" si="5">E20</f>
        <v>1087111</v>
      </c>
      <c r="F19" s="161">
        <f t="shared" si="5"/>
        <v>50000</v>
      </c>
      <c r="G19" s="161">
        <f>E19+F19</f>
        <v>1137111</v>
      </c>
      <c r="H19" s="161">
        <f t="shared" si="5"/>
        <v>501686</v>
      </c>
      <c r="I19" s="162">
        <f t="shared" si="5"/>
        <v>6203</v>
      </c>
      <c r="J19" s="161">
        <f>SUM(J20:J20)</f>
        <v>55000</v>
      </c>
    </row>
    <row r="20" spans="2:11" ht="36.75" customHeight="1" thickBot="1" x14ac:dyDescent="0.3">
      <c r="B20" s="163"/>
      <c r="C20" s="157" t="s">
        <v>462</v>
      </c>
      <c r="D20" s="165">
        <v>1700000</v>
      </c>
      <c r="E20" s="165">
        <v>1087111</v>
      </c>
      <c r="F20" s="165">
        <v>50000</v>
      </c>
      <c r="G20" s="165"/>
      <c r="H20" s="165">
        <v>501686</v>
      </c>
      <c r="I20" s="169">
        <v>6203</v>
      </c>
      <c r="J20" s="165">
        <f>D20-(E20+F20+H20+I20)</f>
        <v>55000</v>
      </c>
    </row>
    <row r="21" spans="2:11" ht="15.75" thickBot="1" x14ac:dyDescent="0.3">
      <c r="B21" s="160" t="s">
        <v>40</v>
      </c>
      <c r="C21" s="156" t="s">
        <v>39</v>
      </c>
      <c r="D21" s="161">
        <f>SUM(D22:D22)</f>
        <v>1650000</v>
      </c>
      <c r="E21" s="161">
        <f>E22</f>
        <v>1240012</v>
      </c>
      <c r="F21" s="161">
        <f t="shared" ref="F21:H21" si="6">F22</f>
        <v>120000</v>
      </c>
      <c r="G21" s="161">
        <f>E21+F21</f>
        <v>1360012</v>
      </c>
      <c r="H21" s="161">
        <f t="shared" si="6"/>
        <v>266022</v>
      </c>
      <c r="I21" s="162">
        <f t="shared" ref="I21" si="7">SUM(I22:I22)</f>
        <v>966</v>
      </c>
      <c r="J21" s="161">
        <f>SUM(J22:J22)</f>
        <v>23000</v>
      </c>
    </row>
    <row r="22" spans="2:11" ht="36" customHeight="1" thickBot="1" x14ac:dyDescent="0.3">
      <c r="B22" s="163"/>
      <c r="C22" s="157" t="s">
        <v>462</v>
      </c>
      <c r="D22" s="165">
        <v>1650000</v>
      </c>
      <c r="E22" s="165">
        <v>1240012</v>
      </c>
      <c r="F22" s="165">
        <v>120000</v>
      </c>
      <c r="G22" s="165"/>
      <c r="H22" s="165">
        <v>266022</v>
      </c>
      <c r="I22" s="169">
        <v>966</v>
      </c>
      <c r="J22" s="165">
        <f>D22-(E22+F22+H22+I22)</f>
        <v>23000</v>
      </c>
    </row>
    <row r="23" spans="2:11" ht="24.75" customHeight="1" thickBot="1" x14ac:dyDescent="0.3">
      <c r="B23" s="160" t="s">
        <v>48</v>
      </c>
      <c r="C23" s="156" t="s">
        <v>47</v>
      </c>
      <c r="D23" s="161">
        <v>270000</v>
      </c>
      <c r="E23" s="161">
        <v>202500</v>
      </c>
      <c r="F23" s="161"/>
      <c r="G23" s="161">
        <f>E23+F23</f>
        <v>202500</v>
      </c>
      <c r="H23" s="161">
        <v>67500</v>
      </c>
      <c r="I23" s="162"/>
      <c r="J23" s="161">
        <f>D23-(E23+F23+H23)</f>
        <v>0</v>
      </c>
    </row>
    <row r="24" spans="2:11" ht="24.75" customHeight="1" thickBot="1" x14ac:dyDescent="0.3">
      <c r="B24" s="160" t="s">
        <v>55</v>
      </c>
      <c r="C24" s="156" t="s">
        <v>469</v>
      </c>
      <c r="D24" s="161">
        <f t="shared" ref="D24" si="8">D25</f>
        <v>1240000</v>
      </c>
      <c r="E24" s="161">
        <f>E25</f>
        <v>564968</v>
      </c>
      <c r="F24" s="161">
        <f t="shared" ref="F24" si="9">F25</f>
        <v>60000</v>
      </c>
      <c r="G24" s="161">
        <f>E24+F24</f>
        <v>624968</v>
      </c>
      <c r="H24" s="161">
        <f>H25</f>
        <v>265032</v>
      </c>
      <c r="I24" s="161">
        <f t="shared" ref="I24:J24" si="10">I25</f>
        <v>0</v>
      </c>
      <c r="J24" s="161">
        <f t="shared" si="10"/>
        <v>350000</v>
      </c>
    </row>
    <row r="25" spans="2:11" ht="30" customHeight="1" thickBot="1" x14ac:dyDescent="0.3">
      <c r="B25" s="170"/>
      <c r="C25" s="157" t="s">
        <v>462</v>
      </c>
      <c r="D25" s="165">
        <v>1240000</v>
      </c>
      <c r="E25" s="165">
        <v>564968</v>
      </c>
      <c r="F25" s="165">
        <v>60000</v>
      </c>
      <c r="G25" s="165"/>
      <c r="H25" s="165">
        <v>265032</v>
      </c>
      <c r="I25" s="169"/>
      <c r="J25" s="165">
        <f>D25-(E25+F25+H25+I25)</f>
        <v>350000</v>
      </c>
    </row>
    <row r="26" spans="2:11" ht="105.75" thickBot="1" x14ac:dyDescent="0.3">
      <c r="B26" s="171" t="s">
        <v>391</v>
      </c>
      <c r="C26" s="172" t="s">
        <v>470</v>
      </c>
      <c r="D26" s="173">
        <f t="shared" ref="D26:J26" si="11">D27+D28</f>
        <v>826000</v>
      </c>
      <c r="E26" s="173">
        <f t="shared" si="11"/>
        <v>269411</v>
      </c>
      <c r="F26" s="173">
        <f t="shared" si="11"/>
        <v>33540</v>
      </c>
      <c r="G26" s="161">
        <f>E26+F26</f>
        <v>302951</v>
      </c>
      <c r="H26" s="173">
        <f t="shared" si="11"/>
        <v>523049</v>
      </c>
      <c r="I26" s="173">
        <f t="shared" si="11"/>
        <v>0</v>
      </c>
      <c r="J26" s="173">
        <f t="shared" si="11"/>
        <v>0</v>
      </c>
    </row>
    <row r="27" spans="2:11" ht="30.75" thickBot="1" x14ac:dyDescent="0.3">
      <c r="B27" s="174"/>
      <c r="C27" s="157" t="s">
        <v>462</v>
      </c>
      <c r="D27" s="165">
        <v>300000</v>
      </c>
      <c r="E27" s="175"/>
      <c r="F27" s="175"/>
      <c r="G27" s="175"/>
      <c r="H27" s="175">
        <v>370000</v>
      </c>
      <c r="I27" s="169"/>
      <c r="J27" s="165">
        <f>D27-(E27+F27+H27+I27)</f>
        <v>-70000</v>
      </c>
    </row>
    <row r="28" spans="2:11" ht="30.75" thickBot="1" x14ac:dyDescent="0.3">
      <c r="B28" s="176"/>
      <c r="C28" s="157" t="s">
        <v>464</v>
      </c>
      <c r="D28" s="165">
        <v>526000</v>
      </c>
      <c r="E28" s="177">
        <v>269411</v>
      </c>
      <c r="F28" s="177">
        <v>33540</v>
      </c>
      <c r="G28" s="177"/>
      <c r="H28" s="177">
        <v>153049</v>
      </c>
      <c r="I28" s="169"/>
      <c r="J28" s="165">
        <f>D28-(E28+F28+H28+I28)</f>
        <v>70000</v>
      </c>
    </row>
    <row r="29" spans="2:11" ht="29.25" customHeight="1" thickBot="1" x14ac:dyDescent="0.3">
      <c r="B29" s="160" t="s">
        <v>471</v>
      </c>
      <c r="C29" s="156" t="s">
        <v>472</v>
      </c>
      <c r="D29" s="161">
        <f t="shared" ref="D29:I29" si="12">D30</f>
        <v>900000</v>
      </c>
      <c r="E29" s="161">
        <f t="shared" si="12"/>
        <v>482435</v>
      </c>
      <c r="F29" s="161">
        <f t="shared" si="12"/>
        <v>70000</v>
      </c>
      <c r="G29" s="161">
        <f>E29+F29</f>
        <v>552435</v>
      </c>
      <c r="H29" s="161">
        <f t="shared" si="12"/>
        <v>253916</v>
      </c>
      <c r="I29" s="162">
        <f t="shared" si="12"/>
        <v>73649</v>
      </c>
      <c r="J29" s="161">
        <f>SUM(J30)</f>
        <v>20000</v>
      </c>
    </row>
    <row r="30" spans="2:11" ht="41.25" customHeight="1" thickBot="1" x14ac:dyDescent="0.3">
      <c r="B30" s="170"/>
      <c r="C30" s="157" t="s">
        <v>462</v>
      </c>
      <c r="D30" s="165">
        <v>900000</v>
      </c>
      <c r="E30" s="165">
        <v>482435</v>
      </c>
      <c r="F30" s="165">
        <v>70000</v>
      </c>
      <c r="G30" s="165"/>
      <c r="H30" s="165">
        <v>253916</v>
      </c>
      <c r="I30" s="169">
        <v>73649</v>
      </c>
      <c r="J30" s="165">
        <f>D30-(E30+F30+H30+I30)</f>
        <v>20000</v>
      </c>
    </row>
    <row r="31" spans="2:11" ht="77.25" customHeight="1" thickBot="1" x14ac:dyDescent="0.3">
      <c r="B31" s="156" t="s">
        <v>396</v>
      </c>
      <c r="C31" s="156" t="s">
        <v>473</v>
      </c>
      <c r="D31" s="156">
        <f t="shared" ref="D31:J31" si="13">D32</f>
        <v>1830000</v>
      </c>
      <c r="E31" s="156">
        <f t="shared" si="13"/>
        <v>0</v>
      </c>
      <c r="F31" s="156">
        <f t="shared" si="13"/>
        <v>0</v>
      </c>
      <c r="G31" s="161">
        <f>E31+F31</f>
        <v>0</v>
      </c>
      <c r="H31" s="156">
        <f t="shared" si="13"/>
        <v>1170000</v>
      </c>
      <c r="I31" s="156">
        <f t="shared" si="13"/>
        <v>0</v>
      </c>
      <c r="J31" s="156">
        <f t="shared" si="13"/>
        <v>660000</v>
      </c>
    </row>
    <row r="32" spans="2:11" ht="12" customHeight="1" thickBot="1" x14ac:dyDescent="0.3">
      <c r="B32" s="178"/>
      <c r="C32" s="157" t="s">
        <v>462</v>
      </c>
      <c r="D32" s="175">
        <v>1830000</v>
      </c>
      <c r="E32" s="175">
        <v>0</v>
      </c>
      <c r="F32" s="175">
        <v>0</v>
      </c>
      <c r="G32" s="175"/>
      <c r="H32" s="175">
        <v>1170000</v>
      </c>
      <c r="I32" s="179"/>
      <c r="J32" s="165">
        <f>D32-(E32+F32+H32+I32)</f>
        <v>660000</v>
      </c>
    </row>
    <row r="33" spans="2:14" ht="94.5" thickBot="1" x14ac:dyDescent="0.3">
      <c r="B33" s="160" t="s">
        <v>399</v>
      </c>
      <c r="C33" s="156" t="s">
        <v>474</v>
      </c>
      <c r="D33" s="161">
        <f>SUM(D34:D35)</f>
        <v>462000</v>
      </c>
      <c r="E33" s="161">
        <f>SUM(E34:E35)</f>
        <v>218283</v>
      </c>
      <c r="F33" s="161">
        <f t="shared" ref="F33:I33" si="14">SUM(F34:F35)</f>
        <v>45000</v>
      </c>
      <c r="G33" s="161">
        <f>E33+F33</f>
        <v>263283</v>
      </c>
      <c r="H33" s="161">
        <f t="shared" si="14"/>
        <v>93164</v>
      </c>
      <c r="I33" s="162">
        <f t="shared" si="14"/>
        <v>83553.5</v>
      </c>
      <c r="J33" s="161">
        <f>SUM(J34:J35)</f>
        <v>21999.5</v>
      </c>
    </row>
    <row r="34" spans="2:14" ht="30.75" thickBot="1" x14ac:dyDescent="0.3">
      <c r="B34" s="255"/>
      <c r="C34" s="157" t="s">
        <v>462</v>
      </c>
      <c r="D34" s="175">
        <v>94500</v>
      </c>
      <c r="E34" s="165">
        <v>63934</v>
      </c>
      <c r="F34" s="165">
        <v>20000</v>
      </c>
      <c r="G34" s="165"/>
      <c r="H34" s="165">
        <v>10566</v>
      </c>
      <c r="I34" s="179"/>
      <c r="J34" s="165">
        <f>D34-(E34+F34+H34+I34)</f>
        <v>0</v>
      </c>
    </row>
    <row r="35" spans="2:14" ht="30.75" thickBot="1" x14ac:dyDescent="0.3">
      <c r="B35" s="256"/>
      <c r="C35" s="157" t="s">
        <v>464</v>
      </c>
      <c r="D35" s="165">
        <v>367500</v>
      </c>
      <c r="E35" s="175">
        <v>154349</v>
      </c>
      <c r="F35" s="175">
        <v>25000</v>
      </c>
      <c r="G35" s="175"/>
      <c r="H35" s="175">
        <v>82598</v>
      </c>
      <c r="I35" s="169">
        <v>83553.5</v>
      </c>
      <c r="J35" s="165">
        <f>D35-(E35+F35+H35+I35)</f>
        <v>21999.5</v>
      </c>
      <c r="K35" s="167"/>
      <c r="L35" s="167"/>
      <c r="M35" s="167"/>
      <c r="N35" s="167"/>
    </row>
    <row r="36" spans="2:14" ht="30.75" thickBot="1" x14ac:dyDescent="0.3">
      <c r="B36" s="160" t="s">
        <v>103</v>
      </c>
      <c r="C36" s="156" t="s">
        <v>102</v>
      </c>
      <c r="D36" s="161">
        <f>SUM(D37:D37)</f>
        <v>400000</v>
      </c>
      <c r="E36" s="161">
        <f>SUM(E37:E37)</f>
        <v>54674</v>
      </c>
      <c r="F36" s="161">
        <f t="shared" ref="F36:H36" si="15">SUM(F37:F37)</f>
        <v>30000</v>
      </c>
      <c r="G36" s="161">
        <f>E36+F36</f>
        <v>84674</v>
      </c>
      <c r="H36" s="161">
        <f t="shared" si="15"/>
        <v>280376</v>
      </c>
      <c r="I36" s="162">
        <f>SUM(I37:I37)</f>
        <v>34950</v>
      </c>
      <c r="J36" s="161">
        <f>SUM(J37:J37)</f>
        <v>0</v>
      </c>
    </row>
    <row r="37" spans="2:14" ht="30.75" thickBot="1" x14ac:dyDescent="0.3">
      <c r="B37" s="163"/>
      <c r="C37" s="157" t="s">
        <v>462</v>
      </c>
      <c r="D37" s="180">
        <v>400000</v>
      </c>
      <c r="E37" s="165">
        <v>54674</v>
      </c>
      <c r="F37" s="165">
        <v>30000</v>
      </c>
      <c r="G37" s="165"/>
      <c r="H37" s="165">
        <v>280376</v>
      </c>
      <c r="I37" s="181">
        <v>34950</v>
      </c>
      <c r="J37" s="165">
        <f>D37-(E37+F37+H37+I37)</f>
        <v>0</v>
      </c>
    </row>
    <row r="38" spans="2:14" ht="30.75" thickBot="1" x14ac:dyDescent="0.3">
      <c r="B38" s="171" t="s">
        <v>403</v>
      </c>
      <c r="C38" s="172" t="s">
        <v>475</v>
      </c>
      <c r="D38" s="173">
        <f>D39</f>
        <v>680000</v>
      </c>
      <c r="E38" s="173">
        <f t="shared" ref="E38:J38" si="16">E39</f>
        <v>200756</v>
      </c>
      <c r="F38" s="173">
        <f t="shared" si="16"/>
        <v>60000</v>
      </c>
      <c r="G38" s="161">
        <f>E38+F38</f>
        <v>260756</v>
      </c>
      <c r="H38" s="173">
        <f t="shared" si="16"/>
        <v>293545</v>
      </c>
      <c r="I38" s="173">
        <f t="shared" si="16"/>
        <v>125699</v>
      </c>
      <c r="J38" s="173">
        <f t="shared" si="16"/>
        <v>0</v>
      </c>
    </row>
    <row r="39" spans="2:14" ht="30.75" thickBot="1" x14ac:dyDescent="0.3">
      <c r="B39" s="182"/>
      <c r="C39" s="157" t="s">
        <v>462</v>
      </c>
      <c r="D39" s="175">
        <v>680000</v>
      </c>
      <c r="E39" s="175">
        <v>200756</v>
      </c>
      <c r="F39" s="183">
        <v>60000</v>
      </c>
      <c r="G39" s="183"/>
      <c r="H39" s="183">
        <v>293545</v>
      </c>
      <c r="I39" s="179">
        <v>125699</v>
      </c>
      <c r="J39" s="165">
        <f>D39-(E39+F39+H39+I39)</f>
        <v>0</v>
      </c>
    </row>
    <row r="40" spans="2:14" ht="30.75" customHeight="1" thickBot="1" x14ac:dyDescent="0.3">
      <c r="B40" s="160"/>
      <c r="C40" s="184" t="s">
        <v>294</v>
      </c>
      <c r="D40" s="162">
        <f t="shared" ref="D40:H40" si="17">D36+D33+D29+D24+D23+D21+D19+D16+D14+D38+D31+D26</f>
        <v>27288000</v>
      </c>
      <c r="E40" s="162">
        <f t="shared" si="17"/>
        <v>17336634</v>
      </c>
      <c r="F40" s="162">
        <f t="shared" si="17"/>
        <v>619040</v>
      </c>
      <c r="G40" s="161">
        <f>E40+F40</f>
        <v>17955674</v>
      </c>
      <c r="H40" s="162">
        <f t="shared" si="17"/>
        <v>8916379.5</v>
      </c>
      <c r="I40" s="162">
        <f>I36+I33+I29+I24+I23+I21+I19+I16+I14+I38+I31+I26</f>
        <v>415946.5</v>
      </c>
      <c r="J40" s="162">
        <f>J36+J33+J29+J24+J23+J21+J19+J16+J14+J38+J31+J26</f>
        <v>0</v>
      </c>
    </row>
    <row r="59" spans="2:4" ht="105" x14ac:dyDescent="0.25">
      <c r="B59" s="171" t="s">
        <v>391</v>
      </c>
      <c r="C59" s="172" t="s">
        <v>470</v>
      </c>
      <c r="D59" s="173">
        <f t="shared" ref="D59:D60" si="18">D60</f>
        <v>0</v>
      </c>
    </row>
    <row r="60" spans="2:4" x14ac:dyDescent="0.25">
      <c r="B60" s="257"/>
      <c r="C60" s="185" t="s">
        <v>460</v>
      </c>
      <c r="D60" s="186">
        <f t="shared" si="18"/>
        <v>0</v>
      </c>
    </row>
    <row r="61" spans="2:4" ht="30" x14ac:dyDescent="0.25">
      <c r="B61" s="257"/>
      <c r="C61" s="157" t="s">
        <v>462</v>
      </c>
      <c r="D61" s="186">
        <f t="shared" ref="D61" si="19">D64+D70</f>
        <v>0</v>
      </c>
    </row>
  </sheetData>
  <mergeCells count="4">
    <mergeCell ref="C2:I2"/>
    <mergeCell ref="B17:B18"/>
    <mergeCell ref="B34:B35"/>
    <mergeCell ref="B60:B6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00"/>
  <sheetViews>
    <sheetView workbookViewId="0">
      <selection activeCell="E62" sqref="E62"/>
    </sheetView>
  </sheetViews>
  <sheetFormatPr defaultRowHeight="12.75" x14ac:dyDescent="0.25"/>
  <cols>
    <col min="1" max="1" width="13.42578125" style="233" customWidth="1"/>
    <col min="2" max="2" width="48.7109375" style="234" customWidth="1"/>
    <col min="3" max="4" width="16.140625" style="235" customWidth="1"/>
    <col min="5" max="5" width="18.42578125" style="191" customWidth="1"/>
    <col min="6" max="6" width="16.85546875" style="191" customWidth="1"/>
    <col min="7" max="7" width="16.7109375" style="191" customWidth="1"/>
    <col min="8" max="9" width="13.85546875" style="237" customWidth="1"/>
    <col min="10" max="10" width="17.7109375" style="191" customWidth="1"/>
    <col min="11" max="11" width="16.42578125" style="191" customWidth="1"/>
    <col min="12" max="12" width="15.42578125" style="191" customWidth="1"/>
    <col min="13" max="13" width="14.7109375" style="191" customWidth="1"/>
    <col min="14" max="14" width="15.28515625" style="191" customWidth="1"/>
    <col min="15" max="17" width="14.7109375" style="191" customWidth="1"/>
    <col min="18" max="18" width="15.5703125" style="191" customWidth="1"/>
    <col min="19" max="19" width="18" style="191" customWidth="1"/>
    <col min="20" max="20" width="14.7109375" style="191" customWidth="1"/>
    <col min="21" max="21" width="14.7109375" style="238" customWidth="1"/>
    <col min="22" max="22" width="15.85546875" style="238" customWidth="1"/>
    <col min="23" max="23" width="15.85546875" style="191" customWidth="1"/>
    <col min="24" max="24" width="14.7109375" style="239" customWidth="1"/>
    <col min="25" max="26" width="14.7109375" style="240" customWidth="1"/>
    <col min="27" max="27" width="15.85546875" style="191" customWidth="1"/>
    <col min="28" max="29" width="14.7109375" style="237" customWidth="1"/>
    <col min="30" max="31" width="14.7109375" style="191" customWidth="1"/>
    <col min="32" max="33" width="14.7109375" style="237" customWidth="1"/>
    <col min="34" max="45" width="14.7109375" style="191" customWidth="1"/>
    <col min="46" max="57" width="14.7109375" style="191" hidden="1" customWidth="1"/>
    <col min="58" max="58" width="14.7109375" style="191" customWidth="1"/>
    <col min="59" max="256" width="9.140625" style="191"/>
    <col min="257" max="257" width="13.42578125" style="191" customWidth="1"/>
    <col min="258" max="258" width="48.7109375" style="191" customWidth="1"/>
    <col min="259" max="260" width="16.140625" style="191" customWidth="1"/>
    <col min="261" max="261" width="18.42578125" style="191" customWidth="1"/>
    <col min="262" max="262" width="16.85546875" style="191" customWidth="1"/>
    <col min="263" max="263" width="16.7109375" style="191" customWidth="1"/>
    <col min="264" max="265" width="13.85546875" style="191" customWidth="1"/>
    <col min="266" max="266" width="17.7109375" style="191" customWidth="1"/>
    <col min="267" max="267" width="16.42578125" style="191" customWidth="1"/>
    <col min="268" max="268" width="15.42578125" style="191" customWidth="1"/>
    <col min="269" max="269" width="14.7109375" style="191" customWidth="1"/>
    <col min="270" max="270" width="15.28515625" style="191" customWidth="1"/>
    <col min="271" max="273" width="14.7109375" style="191" customWidth="1"/>
    <col min="274" max="274" width="15.5703125" style="191" customWidth="1"/>
    <col min="275" max="275" width="18" style="191" customWidth="1"/>
    <col min="276" max="277" width="14.7109375" style="191" customWidth="1"/>
    <col min="278" max="279" width="15.85546875" style="191" customWidth="1"/>
    <col min="280" max="282" width="14.7109375" style="191" customWidth="1"/>
    <col min="283" max="283" width="15.85546875" style="191" customWidth="1"/>
    <col min="284" max="301" width="14.7109375" style="191" customWidth="1"/>
    <col min="302" max="313" width="0" style="191" hidden="1" customWidth="1"/>
    <col min="314" max="314" width="14.7109375" style="191" customWidth="1"/>
    <col min="315" max="512" width="9.140625" style="191"/>
    <col min="513" max="513" width="13.42578125" style="191" customWidth="1"/>
    <col min="514" max="514" width="48.7109375" style="191" customWidth="1"/>
    <col min="515" max="516" width="16.140625" style="191" customWidth="1"/>
    <col min="517" max="517" width="18.42578125" style="191" customWidth="1"/>
    <col min="518" max="518" width="16.85546875" style="191" customWidth="1"/>
    <col min="519" max="519" width="16.7109375" style="191" customWidth="1"/>
    <col min="520" max="521" width="13.85546875" style="191" customWidth="1"/>
    <col min="522" max="522" width="17.7109375" style="191" customWidth="1"/>
    <col min="523" max="523" width="16.42578125" style="191" customWidth="1"/>
    <col min="524" max="524" width="15.42578125" style="191" customWidth="1"/>
    <col min="525" max="525" width="14.7109375" style="191" customWidth="1"/>
    <col min="526" max="526" width="15.28515625" style="191" customWidth="1"/>
    <col min="527" max="529" width="14.7109375" style="191" customWidth="1"/>
    <col min="530" max="530" width="15.5703125" style="191" customWidth="1"/>
    <col min="531" max="531" width="18" style="191" customWidth="1"/>
    <col min="532" max="533" width="14.7109375" style="191" customWidth="1"/>
    <col min="534" max="535" width="15.85546875" style="191" customWidth="1"/>
    <col min="536" max="538" width="14.7109375" style="191" customWidth="1"/>
    <col min="539" max="539" width="15.85546875" style="191" customWidth="1"/>
    <col min="540" max="557" width="14.7109375" style="191" customWidth="1"/>
    <col min="558" max="569" width="0" style="191" hidden="1" customWidth="1"/>
    <col min="570" max="570" width="14.7109375" style="191" customWidth="1"/>
    <col min="571" max="768" width="9.140625" style="191"/>
    <col min="769" max="769" width="13.42578125" style="191" customWidth="1"/>
    <col min="770" max="770" width="48.7109375" style="191" customWidth="1"/>
    <col min="771" max="772" width="16.140625" style="191" customWidth="1"/>
    <col min="773" max="773" width="18.42578125" style="191" customWidth="1"/>
    <col min="774" max="774" width="16.85546875" style="191" customWidth="1"/>
    <col min="775" max="775" width="16.7109375" style="191" customWidth="1"/>
    <col min="776" max="777" width="13.85546875" style="191" customWidth="1"/>
    <col min="778" max="778" width="17.7109375" style="191" customWidth="1"/>
    <col min="779" max="779" width="16.42578125" style="191" customWidth="1"/>
    <col min="780" max="780" width="15.42578125" style="191" customWidth="1"/>
    <col min="781" max="781" width="14.7109375" style="191" customWidth="1"/>
    <col min="782" max="782" width="15.28515625" style="191" customWidth="1"/>
    <col min="783" max="785" width="14.7109375" style="191" customWidth="1"/>
    <col min="786" max="786" width="15.5703125" style="191" customWidth="1"/>
    <col min="787" max="787" width="18" style="191" customWidth="1"/>
    <col min="788" max="789" width="14.7109375" style="191" customWidth="1"/>
    <col min="790" max="791" width="15.85546875" style="191" customWidth="1"/>
    <col min="792" max="794" width="14.7109375" style="191" customWidth="1"/>
    <col min="795" max="795" width="15.85546875" style="191" customWidth="1"/>
    <col min="796" max="813" width="14.7109375" style="191" customWidth="1"/>
    <col min="814" max="825" width="0" style="191" hidden="1" customWidth="1"/>
    <col min="826" max="826" width="14.7109375" style="191" customWidth="1"/>
    <col min="827" max="1024" width="9.140625" style="191"/>
    <col min="1025" max="1025" width="13.42578125" style="191" customWidth="1"/>
    <col min="1026" max="1026" width="48.7109375" style="191" customWidth="1"/>
    <col min="1027" max="1028" width="16.140625" style="191" customWidth="1"/>
    <col min="1029" max="1029" width="18.42578125" style="191" customWidth="1"/>
    <col min="1030" max="1030" width="16.85546875" style="191" customWidth="1"/>
    <col min="1031" max="1031" width="16.7109375" style="191" customWidth="1"/>
    <col min="1032" max="1033" width="13.85546875" style="191" customWidth="1"/>
    <col min="1034" max="1034" width="17.7109375" style="191" customWidth="1"/>
    <col min="1035" max="1035" width="16.42578125" style="191" customWidth="1"/>
    <col min="1036" max="1036" width="15.42578125" style="191" customWidth="1"/>
    <col min="1037" max="1037" width="14.7109375" style="191" customWidth="1"/>
    <col min="1038" max="1038" width="15.28515625" style="191" customWidth="1"/>
    <col min="1039" max="1041" width="14.7109375" style="191" customWidth="1"/>
    <col min="1042" max="1042" width="15.5703125" style="191" customWidth="1"/>
    <col min="1043" max="1043" width="18" style="191" customWidth="1"/>
    <col min="1044" max="1045" width="14.7109375" style="191" customWidth="1"/>
    <col min="1046" max="1047" width="15.85546875" style="191" customWidth="1"/>
    <col min="1048" max="1050" width="14.7109375" style="191" customWidth="1"/>
    <col min="1051" max="1051" width="15.85546875" style="191" customWidth="1"/>
    <col min="1052" max="1069" width="14.7109375" style="191" customWidth="1"/>
    <col min="1070" max="1081" width="0" style="191" hidden="1" customWidth="1"/>
    <col min="1082" max="1082" width="14.7109375" style="191" customWidth="1"/>
    <col min="1083" max="1280" width="9.140625" style="191"/>
    <col min="1281" max="1281" width="13.42578125" style="191" customWidth="1"/>
    <col min="1282" max="1282" width="48.7109375" style="191" customWidth="1"/>
    <col min="1283" max="1284" width="16.140625" style="191" customWidth="1"/>
    <col min="1285" max="1285" width="18.42578125" style="191" customWidth="1"/>
    <col min="1286" max="1286" width="16.85546875" style="191" customWidth="1"/>
    <col min="1287" max="1287" width="16.7109375" style="191" customWidth="1"/>
    <col min="1288" max="1289" width="13.85546875" style="191" customWidth="1"/>
    <col min="1290" max="1290" width="17.7109375" style="191" customWidth="1"/>
    <col min="1291" max="1291" width="16.42578125" style="191" customWidth="1"/>
    <col min="1292" max="1292" width="15.42578125" style="191" customWidth="1"/>
    <col min="1293" max="1293" width="14.7109375" style="191" customWidth="1"/>
    <col min="1294" max="1294" width="15.28515625" style="191" customWidth="1"/>
    <col min="1295" max="1297" width="14.7109375" style="191" customWidth="1"/>
    <col min="1298" max="1298" width="15.5703125" style="191" customWidth="1"/>
    <col min="1299" max="1299" width="18" style="191" customWidth="1"/>
    <col min="1300" max="1301" width="14.7109375" style="191" customWidth="1"/>
    <col min="1302" max="1303" width="15.85546875" style="191" customWidth="1"/>
    <col min="1304" max="1306" width="14.7109375" style="191" customWidth="1"/>
    <col min="1307" max="1307" width="15.85546875" style="191" customWidth="1"/>
    <col min="1308" max="1325" width="14.7109375" style="191" customWidth="1"/>
    <col min="1326" max="1337" width="0" style="191" hidden="1" customWidth="1"/>
    <col min="1338" max="1338" width="14.7109375" style="191" customWidth="1"/>
    <col min="1339" max="1536" width="9.140625" style="191"/>
    <col min="1537" max="1537" width="13.42578125" style="191" customWidth="1"/>
    <col min="1538" max="1538" width="48.7109375" style="191" customWidth="1"/>
    <col min="1539" max="1540" width="16.140625" style="191" customWidth="1"/>
    <col min="1541" max="1541" width="18.42578125" style="191" customWidth="1"/>
    <col min="1542" max="1542" width="16.85546875" style="191" customWidth="1"/>
    <col min="1543" max="1543" width="16.7109375" style="191" customWidth="1"/>
    <col min="1544" max="1545" width="13.85546875" style="191" customWidth="1"/>
    <col min="1546" max="1546" width="17.7109375" style="191" customWidth="1"/>
    <col min="1547" max="1547" width="16.42578125" style="191" customWidth="1"/>
    <col min="1548" max="1548" width="15.42578125" style="191" customWidth="1"/>
    <col min="1549" max="1549" width="14.7109375" style="191" customWidth="1"/>
    <col min="1550" max="1550" width="15.28515625" style="191" customWidth="1"/>
    <col min="1551" max="1553" width="14.7109375" style="191" customWidth="1"/>
    <col min="1554" max="1554" width="15.5703125" style="191" customWidth="1"/>
    <col min="1555" max="1555" width="18" style="191" customWidth="1"/>
    <col min="1556" max="1557" width="14.7109375" style="191" customWidth="1"/>
    <col min="1558" max="1559" width="15.85546875" style="191" customWidth="1"/>
    <col min="1560" max="1562" width="14.7109375" style="191" customWidth="1"/>
    <col min="1563" max="1563" width="15.85546875" style="191" customWidth="1"/>
    <col min="1564" max="1581" width="14.7109375" style="191" customWidth="1"/>
    <col min="1582" max="1593" width="0" style="191" hidden="1" customWidth="1"/>
    <col min="1594" max="1594" width="14.7109375" style="191" customWidth="1"/>
    <col min="1595" max="1792" width="9.140625" style="191"/>
    <col min="1793" max="1793" width="13.42578125" style="191" customWidth="1"/>
    <col min="1794" max="1794" width="48.7109375" style="191" customWidth="1"/>
    <col min="1795" max="1796" width="16.140625" style="191" customWidth="1"/>
    <col min="1797" max="1797" width="18.42578125" style="191" customWidth="1"/>
    <col min="1798" max="1798" width="16.85546875" style="191" customWidth="1"/>
    <col min="1799" max="1799" width="16.7109375" style="191" customWidth="1"/>
    <col min="1800" max="1801" width="13.85546875" style="191" customWidth="1"/>
    <col min="1802" max="1802" width="17.7109375" style="191" customWidth="1"/>
    <col min="1803" max="1803" width="16.42578125" style="191" customWidth="1"/>
    <col min="1804" max="1804" width="15.42578125" style="191" customWidth="1"/>
    <col min="1805" max="1805" width="14.7109375" style="191" customWidth="1"/>
    <col min="1806" max="1806" width="15.28515625" style="191" customWidth="1"/>
    <col min="1807" max="1809" width="14.7109375" style="191" customWidth="1"/>
    <col min="1810" max="1810" width="15.5703125" style="191" customWidth="1"/>
    <col min="1811" max="1811" width="18" style="191" customWidth="1"/>
    <col min="1812" max="1813" width="14.7109375" style="191" customWidth="1"/>
    <col min="1814" max="1815" width="15.85546875" style="191" customWidth="1"/>
    <col min="1816" max="1818" width="14.7109375" style="191" customWidth="1"/>
    <col min="1819" max="1819" width="15.85546875" style="191" customWidth="1"/>
    <col min="1820" max="1837" width="14.7109375" style="191" customWidth="1"/>
    <col min="1838" max="1849" width="0" style="191" hidden="1" customWidth="1"/>
    <col min="1850" max="1850" width="14.7109375" style="191" customWidth="1"/>
    <col min="1851" max="2048" width="9.140625" style="191"/>
    <col min="2049" max="2049" width="13.42578125" style="191" customWidth="1"/>
    <col min="2050" max="2050" width="48.7109375" style="191" customWidth="1"/>
    <col min="2051" max="2052" width="16.140625" style="191" customWidth="1"/>
    <col min="2053" max="2053" width="18.42578125" style="191" customWidth="1"/>
    <col min="2054" max="2054" width="16.85546875" style="191" customWidth="1"/>
    <col min="2055" max="2055" width="16.7109375" style="191" customWidth="1"/>
    <col min="2056" max="2057" width="13.85546875" style="191" customWidth="1"/>
    <col min="2058" max="2058" width="17.7109375" style="191" customWidth="1"/>
    <col min="2059" max="2059" width="16.42578125" style="191" customWidth="1"/>
    <col min="2060" max="2060" width="15.42578125" style="191" customWidth="1"/>
    <col min="2061" max="2061" width="14.7109375" style="191" customWidth="1"/>
    <col min="2062" max="2062" width="15.28515625" style="191" customWidth="1"/>
    <col min="2063" max="2065" width="14.7109375" style="191" customWidth="1"/>
    <col min="2066" max="2066" width="15.5703125" style="191" customWidth="1"/>
    <col min="2067" max="2067" width="18" style="191" customWidth="1"/>
    <col min="2068" max="2069" width="14.7109375" style="191" customWidth="1"/>
    <col min="2070" max="2071" width="15.85546875" style="191" customWidth="1"/>
    <col min="2072" max="2074" width="14.7109375" style="191" customWidth="1"/>
    <col min="2075" max="2075" width="15.85546875" style="191" customWidth="1"/>
    <col min="2076" max="2093" width="14.7109375" style="191" customWidth="1"/>
    <col min="2094" max="2105" width="0" style="191" hidden="1" customWidth="1"/>
    <col min="2106" max="2106" width="14.7109375" style="191" customWidth="1"/>
    <col min="2107" max="2304" width="9.140625" style="191"/>
    <col min="2305" max="2305" width="13.42578125" style="191" customWidth="1"/>
    <col min="2306" max="2306" width="48.7109375" style="191" customWidth="1"/>
    <col min="2307" max="2308" width="16.140625" style="191" customWidth="1"/>
    <col min="2309" max="2309" width="18.42578125" style="191" customWidth="1"/>
    <col min="2310" max="2310" width="16.85546875" style="191" customWidth="1"/>
    <col min="2311" max="2311" width="16.7109375" style="191" customWidth="1"/>
    <col min="2312" max="2313" width="13.85546875" style="191" customWidth="1"/>
    <col min="2314" max="2314" width="17.7109375" style="191" customWidth="1"/>
    <col min="2315" max="2315" width="16.42578125" style="191" customWidth="1"/>
    <col min="2316" max="2316" width="15.42578125" style="191" customWidth="1"/>
    <col min="2317" max="2317" width="14.7109375" style="191" customWidth="1"/>
    <col min="2318" max="2318" width="15.28515625" style="191" customWidth="1"/>
    <col min="2319" max="2321" width="14.7109375" style="191" customWidth="1"/>
    <col min="2322" max="2322" width="15.5703125" style="191" customWidth="1"/>
    <col min="2323" max="2323" width="18" style="191" customWidth="1"/>
    <col min="2324" max="2325" width="14.7109375" style="191" customWidth="1"/>
    <col min="2326" max="2327" width="15.85546875" style="191" customWidth="1"/>
    <col min="2328" max="2330" width="14.7109375" style="191" customWidth="1"/>
    <col min="2331" max="2331" width="15.85546875" style="191" customWidth="1"/>
    <col min="2332" max="2349" width="14.7109375" style="191" customWidth="1"/>
    <col min="2350" max="2361" width="0" style="191" hidden="1" customWidth="1"/>
    <col min="2362" max="2362" width="14.7109375" style="191" customWidth="1"/>
    <col min="2363" max="2560" width="9.140625" style="191"/>
    <col min="2561" max="2561" width="13.42578125" style="191" customWidth="1"/>
    <col min="2562" max="2562" width="48.7109375" style="191" customWidth="1"/>
    <col min="2563" max="2564" width="16.140625" style="191" customWidth="1"/>
    <col min="2565" max="2565" width="18.42578125" style="191" customWidth="1"/>
    <col min="2566" max="2566" width="16.85546875" style="191" customWidth="1"/>
    <col min="2567" max="2567" width="16.7109375" style="191" customWidth="1"/>
    <col min="2568" max="2569" width="13.85546875" style="191" customWidth="1"/>
    <col min="2570" max="2570" width="17.7109375" style="191" customWidth="1"/>
    <col min="2571" max="2571" width="16.42578125" style="191" customWidth="1"/>
    <col min="2572" max="2572" width="15.42578125" style="191" customWidth="1"/>
    <col min="2573" max="2573" width="14.7109375" style="191" customWidth="1"/>
    <col min="2574" max="2574" width="15.28515625" style="191" customWidth="1"/>
    <col min="2575" max="2577" width="14.7109375" style="191" customWidth="1"/>
    <col min="2578" max="2578" width="15.5703125" style="191" customWidth="1"/>
    <col min="2579" max="2579" width="18" style="191" customWidth="1"/>
    <col min="2580" max="2581" width="14.7109375" style="191" customWidth="1"/>
    <col min="2582" max="2583" width="15.85546875" style="191" customWidth="1"/>
    <col min="2584" max="2586" width="14.7109375" style="191" customWidth="1"/>
    <col min="2587" max="2587" width="15.85546875" style="191" customWidth="1"/>
    <col min="2588" max="2605" width="14.7109375" style="191" customWidth="1"/>
    <col min="2606" max="2617" width="0" style="191" hidden="1" customWidth="1"/>
    <col min="2618" max="2618" width="14.7109375" style="191" customWidth="1"/>
    <col min="2619" max="2816" width="9.140625" style="191"/>
    <col min="2817" max="2817" width="13.42578125" style="191" customWidth="1"/>
    <col min="2818" max="2818" width="48.7109375" style="191" customWidth="1"/>
    <col min="2819" max="2820" width="16.140625" style="191" customWidth="1"/>
    <col min="2821" max="2821" width="18.42578125" style="191" customWidth="1"/>
    <col min="2822" max="2822" width="16.85546875" style="191" customWidth="1"/>
    <col min="2823" max="2823" width="16.7109375" style="191" customWidth="1"/>
    <col min="2824" max="2825" width="13.85546875" style="191" customWidth="1"/>
    <col min="2826" max="2826" width="17.7109375" style="191" customWidth="1"/>
    <col min="2827" max="2827" width="16.42578125" style="191" customWidth="1"/>
    <col min="2828" max="2828" width="15.42578125" style="191" customWidth="1"/>
    <col min="2829" max="2829" width="14.7109375" style="191" customWidth="1"/>
    <col min="2830" max="2830" width="15.28515625" style="191" customWidth="1"/>
    <col min="2831" max="2833" width="14.7109375" style="191" customWidth="1"/>
    <col min="2834" max="2834" width="15.5703125" style="191" customWidth="1"/>
    <col min="2835" max="2835" width="18" style="191" customWidth="1"/>
    <col min="2836" max="2837" width="14.7109375" style="191" customWidth="1"/>
    <col min="2838" max="2839" width="15.85546875" style="191" customWidth="1"/>
    <col min="2840" max="2842" width="14.7109375" style="191" customWidth="1"/>
    <col min="2843" max="2843" width="15.85546875" style="191" customWidth="1"/>
    <col min="2844" max="2861" width="14.7109375" style="191" customWidth="1"/>
    <col min="2862" max="2873" width="0" style="191" hidden="1" customWidth="1"/>
    <col min="2874" max="2874" width="14.7109375" style="191" customWidth="1"/>
    <col min="2875" max="3072" width="9.140625" style="191"/>
    <col min="3073" max="3073" width="13.42578125" style="191" customWidth="1"/>
    <col min="3074" max="3074" width="48.7109375" style="191" customWidth="1"/>
    <col min="3075" max="3076" width="16.140625" style="191" customWidth="1"/>
    <col min="3077" max="3077" width="18.42578125" style="191" customWidth="1"/>
    <col min="3078" max="3078" width="16.85546875" style="191" customWidth="1"/>
    <col min="3079" max="3079" width="16.7109375" style="191" customWidth="1"/>
    <col min="3080" max="3081" width="13.85546875" style="191" customWidth="1"/>
    <col min="3082" max="3082" width="17.7109375" style="191" customWidth="1"/>
    <col min="3083" max="3083" width="16.42578125" style="191" customWidth="1"/>
    <col min="3084" max="3084" width="15.42578125" style="191" customWidth="1"/>
    <col min="3085" max="3085" width="14.7109375" style="191" customWidth="1"/>
    <col min="3086" max="3086" width="15.28515625" style="191" customWidth="1"/>
    <col min="3087" max="3089" width="14.7109375" style="191" customWidth="1"/>
    <col min="3090" max="3090" width="15.5703125" style="191" customWidth="1"/>
    <col min="3091" max="3091" width="18" style="191" customWidth="1"/>
    <col min="3092" max="3093" width="14.7109375" style="191" customWidth="1"/>
    <col min="3094" max="3095" width="15.85546875" style="191" customWidth="1"/>
    <col min="3096" max="3098" width="14.7109375" style="191" customWidth="1"/>
    <col min="3099" max="3099" width="15.85546875" style="191" customWidth="1"/>
    <col min="3100" max="3117" width="14.7109375" style="191" customWidth="1"/>
    <col min="3118" max="3129" width="0" style="191" hidden="1" customWidth="1"/>
    <col min="3130" max="3130" width="14.7109375" style="191" customWidth="1"/>
    <col min="3131" max="3328" width="9.140625" style="191"/>
    <col min="3329" max="3329" width="13.42578125" style="191" customWidth="1"/>
    <col min="3330" max="3330" width="48.7109375" style="191" customWidth="1"/>
    <col min="3331" max="3332" width="16.140625" style="191" customWidth="1"/>
    <col min="3333" max="3333" width="18.42578125" style="191" customWidth="1"/>
    <col min="3334" max="3334" width="16.85546875" style="191" customWidth="1"/>
    <col min="3335" max="3335" width="16.7109375" style="191" customWidth="1"/>
    <col min="3336" max="3337" width="13.85546875" style="191" customWidth="1"/>
    <col min="3338" max="3338" width="17.7109375" style="191" customWidth="1"/>
    <col min="3339" max="3339" width="16.42578125" style="191" customWidth="1"/>
    <col min="3340" max="3340" width="15.42578125" style="191" customWidth="1"/>
    <col min="3341" max="3341" width="14.7109375" style="191" customWidth="1"/>
    <col min="3342" max="3342" width="15.28515625" style="191" customWidth="1"/>
    <col min="3343" max="3345" width="14.7109375" style="191" customWidth="1"/>
    <col min="3346" max="3346" width="15.5703125" style="191" customWidth="1"/>
    <col min="3347" max="3347" width="18" style="191" customWidth="1"/>
    <col min="3348" max="3349" width="14.7109375" style="191" customWidth="1"/>
    <col min="3350" max="3351" width="15.85546875" style="191" customWidth="1"/>
    <col min="3352" max="3354" width="14.7109375" style="191" customWidth="1"/>
    <col min="3355" max="3355" width="15.85546875" style="191" customWidth="1"/>
    <col min="3356" max="3373" width="14.7109375" style="191" customWidth="1"/>
    <col min="3374" max="3385" width="0" style="191" hidden="1" customWidth="1"/>
    <col min="3386" max="3386" width="14.7109375" style="191" customWidth="1"/>
    <col min="3387" max="3584" width="9.140625" style="191"/>
    <col min="3585" max="3585" width="13.42578125" style="191" customWidth="1"/>
    <col min="3586" max="3586" width="48.7109375" style="191" customWidth="1"/>
    <col min="3587" max="3588" width="16.140625" style="191" customWidth="1"/>
    <col min="3589" max="3589" width="18.42578125" style="191" customWidth="1"/>
    <col min="3590" max="3590" width="16.85546875" style="191" customWidth="1"/>
    <col min="3591" max="3591" width="16.7109375" style="191" customWidth="1"/>
    <col min="3592" max="3593" width="13.85546875" style="191" customWidth="1"/>
    <col min="3594" max="3594" width="17.7109375" style="191" customWidth="1"/>
    <col min="3595" max="3595" width="16.42578125" style="191" customWidth="1"/>
    <col min="3596" max="3596" width="15.42578125" style="191" customWidth="1"/>
    <col min="3597" max="3597" width="14.7109375" style="191" customWidth="1"/>
    <col min="3598" max="3598" width="15.28515625" style="191" customWidth="1"/>
    <col min="3599" max="3601" width="14.7109375" style="191" customWidth="1"/>
    <col min="3602" max="3602" width="15.5703125" style="191" customWidth="1"/>
    <col min="3603" max="3603" width="18" style="191" customWidth="1"/>
    <col min="3604" max="3605" width="14.7109375" style="191" customWidth="1"/>
    <col min="3606" max="3607" width="15.85546875" style="191" customWidth="1"/>
    <col min="3608" max="3610" width="14.7109375" style="191" customWidth="1"/>
    <col min="3611" max="3611" width="15.85546875" style="191" customWidth="1"/>
    <col min="3612" max="3629" width="14.7109375" style="191" customWidth="1"/>
    <col min="3630" max="3641" width="0" style="191" hidden="1" customWidth="1"/>
    <col min="3642" max="3642" width="14.7109375" style="191" customWidth="1"/>
    <col min="3643" max="3840" width="9.140625" style="191"/>
    <col min="3841" max="3841" width="13.42578125" style="191" customWidth="1"/>
    <col min="3842" max="3842" width="48.7109375" style="191" customWidth="1"/>
    <col min="3843" max="3844" width="16.140625" style="191" customWidth="1"/>
    <col min="3845" max="3845" width="18.42578125" style="191" customWidth="1"/>
    <col min="3846" max="3846" width="16.85546875" style="191" customWidth="1"/>
    <col min="3847" max="3847" width="16.7109375" style="191" customWidth="1"/>
    <col min="3848" max="3849" width="13.85546875" style="191" customWidth="1"/>
    <col min="3850" max="3850" width="17.7109375" style="191" customWidth="1"/>
    <col min="3851" max="3851" width="16.42578125" style="191" customWidth="1"/>
    <col min="3852" max="3852" width="15.42578125" style="191" customWidth="1"/>
    <col min="3853" max="3853" width="14.7109375" style="191" customWidth="1"/>
    <col min="3854" max="3854" width="15.28515625" style="191" customWidth="1"/>
    <col min="3855" max="3857" width="14.7109375" style="191" customWidth="1"/>
    <col min="3858" max="3858" width="15.5703125" style="191" customWidth="1"/>
    <col min="3859" max="3859" width="18" style="191" customWidth="1"/>
    <col min="3860" max="3861" width="14.7109375" style="191" customWidth="1"/>
    <col min="3862" max="3863" width="15.85546875" style="191" customWidth="1"/>
    <col min="3864" max="3866" width="14.7109375" style="191" customWidth="1"/>
    <col min="3867" max="3867" width="15.85546875" style="191" customWidth="1"/>
    <col min="3868" max="3885" width="14.7109375" style="191" customWidth="1"/>
    <col min="3886" max="3897" width="0" style="191" hidden="1" customWidth="1"/>
    <col min="3898" max="3898" width="14.7109375" style="191" customWidth="1"/>
    <col min="3899" max="4096" width="9.140625" style="191"/>
    <col min="4097" max="4097" width="13.42578125" style="191" customWidth="1"/>
    <col min="4098" max="4098" width="48.7109375" style="191" customWidth="1"/>
    <col min="4099" max="4100" width="16.140625" style="191" customWidth="1"/>
    <col min="4101" max="4101" width="18.42578125" style="191" customWidth="1"/>
    <col min="4102" max="4102" width="16.85546875" style="191" customWidth="1"/>
    <col min="4103" max="4103" width="16.7109375" style="191" customWidth="1"/>
    <col min="4104" max="4105" width="13.85546875" style="191" customWidth="1"/>
    <col min="4106" max="4106" width="17.7109375" style="191" customWidth="1"/>
    <col min="4107" max="4107" width="16.42578125" style="191" customWidth="1"/>
    <col min="4108" max="4108" width="15.42578125" style="191" customWidth="1"/>
    <col min="4109" max="4109" width="14.7109375" style="191" customWidth="1"/>
    <col min="4110" max="4110" width="15.28515625" style="191" customWidth="1"/>
    <col min="4111" max="4113" width="14.7109375" style="191" customWidth="1"/>
    <col min="4114" max="4114" width="15.5703125" style="191" customWidth="1"/>
    <col min="4115" max="4115" width="18" style="191" customWidth="1"/>
    <col min="4116" max="4117" width="14.7109375" style="191" customWidth="1"/>
    <col min="4118" max="4119" width="15.85546875" style="191" customWidth="1"/>
    <col min="4120" max="4122" width="14.7109375" style="191" customWidth="1"/>
    <col min="4123" max="4123" width="15.85546875" style="191" customWidth="1"/>
    <col min="4124" max="4141" width="14.7109375" style="191" customWidth="1"/>
    <col min="4142" max="4153" width="0" style="191" hidden="1" customWidth="1"/>
    <col min="4154" max="4154" width="14.7109375" style="191" customWidth="1"/>
    <col min="4155" max="4352" width="9.140625" style="191"/>
    <col min="4353" max="4353" width="13.42578125" style="191" customWidth="1"/>
    <col min="4354" max="4354" width="48.7109375" style="191" customWidth="1"/>
    <col min="4355" max="4356" width="16.140625" style="191" customWidth="1"/>
    <col min="4357" max="4357" width="18.42578125" style="191" customWidth="1"/>
    <col min="4358" max="4358" width="16.85546875" style="191" customWidth="1"/>
    <col min="4359" max="4359" width="16.7109375" style="191" customWidth="1"/>
    <col min="4360" max="4361" width="13.85546875" style="191" customWidth="1"/>
    <col min="4362" max="4362" width="17.7109375" style="191" customWidth="1"/>
    <col min="4363" max="4363" width="16.42578125" style="191" customWidth="1"/>
    <col min="4364" max="4364" width="15.42578125" style="191" customWidth="1"/>
    <col min="4365" max="4365" width="14.7109375" style="191" customWidth="1"/>
    <col min="4366" max="4366" width="15.28515625" style="191" customWidth="1"/>
    <col min="4367" max="4369" width="14.7109375" style="191" customWidth="1"/>
    <col min="4370" max="4370" width="15.5703125" style="191" customWidth="1"/>
    <col min="4371" max="4371" width="18" style="191" customWidth="1"/>
    <col min="4372" max="4373" width="14.7109375" style="191" customWidth="1"/>
    <col min="4374" max="4375" width="15.85546875" style="191" customWidth="1"/>
    <col min="4376" max="4378" width="14.7109375" style="191" customWidth="1"/>
    <col min="4379" max="4379" width="15.85546875" style="191" customWidth="1"/>
    <col min="4380" max="4397" width="14.7109375" style="191" customWidth="1"/>
    <col min="4398" max="4409" width="0" style="191" hidden="1" customWidth="1"/>
    <col min="4410" max="4410" width="14.7109375" style="191" customWidth="1"/>
    <col min="4411" max="4608" width="9.140625" style="191"/>
    <col min="4609" max="4609" width="13.42578125" style="191" customWidth="1"/>
    <col min="4610" max="4610" width="48.7109375" style="191" customWidth="1"/>
    <col min="4611" max="4612" width="16.140625" style="191" customWidth="1"/>
    <col min="4613" max="4613" width="18.42578125" style="191" customWidth="1"/>
    <col min="4614" max="4614" width="16.85546875" style="191" customWidth="1"/>
    <col min="4615" max="4615" width="16.7109375" style="191" customWidth="1"/>
    <col min="4616" max="4617" width="13.85546875" style="191" customWidth="1"/>
    <col min="4618" max="4618" width="17.7109375" style="191" customWidth="1"/>
    <col min="4619" max="4619" width="16.42578125" style="191" customWidth="1"/>
    <col min="4620" max="4620" width="15.42578125" style="191" customWidth="1"/>
    <col min="4621" max="4621" width="14.7109375" style="191" customWidth="1"/>
    <col min="4622" max="4622" width="15.28515625" style="191" customWidth="1"/>
    <col min="4623" max="4625" width="14.7109375" style="191" customWidth="1"/>
    <col min="4626" max="4626" width="15.5703125" style="191" customWidth="1"/>
    <col min="4627" max="4627" width="18" style="191" customWidth="1"/>
    <col min="4628" max="4629" width="14.7109375" style="191" customWidth="1"/>
    <col min="4630" max="4631" width="15.85546875" style="191" customWidth="1"/>
    <col min="4632" max="4634" width="14.7109375" style="191" customWidth="1"/>
    <col min="4635" max="4635" width="15.85546875" style="191" customWidth="1"/>
    <col min="4636" max="4653" width="14.7109375" style="191" customWidth="1"/>
    <col min="4654" max="4665" width="0" style="191" hidden="1" customWidth="1"/>
    <col min="4666" max="4666" width="14.7109375" style="191" customWidth="1"/>
    <col min="4667" max="4864" width="9.140625" style="191"/>
    <col min="4865" max="4865" width="13.42578125" style="191" customWidth="1"/>
    <col min="4866" max="4866" width="48.7109375" style="191" customWidth="1"/>
    <col min="4867" max="4868" width="16.140625" style="191" customWidth="1"/>
    <col min="4869" max="4869" width="18.42578125" style="191" customWidth="1"/>
    <col min="4870" max="4870" width="16.85546875" style="191" customWidth="1"/>
    <col min="4871" max="4871" width="16.7109375" style="191" customWidth="1"/>
    <col min="4872" max="4873" width="13.85546875" style="191" customWidth="1"/>
    <col min="4874" max="4874" width="17.7109375" style="191" customWidth="1"/>
    <col min="4875" max="4875" width="16.42578125" style="191" customWidth="1"/>
    <col min="4876" max="4876" width="15.42578125" style="191" customWidth="1"/>
    <col min="4877" max="4877" width="14.7109375" style="191" customWidth="1"/>
    <col min="4878" max="4878" width="15.28515625" style="191" customWidth="1"/>
    <col min="4879" max="4881" width="14.7109375" style="191" customWidth="1"/>
    <col min="4882" max="4882" width="15.5703125" style="191" customWidth="1"/>
    <col min="4883" max="4883" width="18" style="191" customWidth="1"/>
    <col min="4884" max="4885" width="14.7109375" style="191" customWidth="1"/>
    <col min="4886" max="4887" width="15.85546875" style="191" customWidth="1"/>
    <col min="4888" max="4890" width="14.7109375" style="191" customWidth="1"/>
    <col min="4891" max="4891" width="15.85546875" style="191" customWidth="1"/>
    <col min="4892" max="4909" width="14.7109375" style="191" customWidth="1"/>
    <col min="4910" max="4921" width="0" style="191" hidden="1" customWidth="1"/>
    <col min="4922" max="4922" width="14.7109375" style="191" customWidth="1"/>
    <col min="4923" max="5120" width="9.140625" style="191"/>
    <col min="5121" max="5121" width="13.42578125" style="191" customWidth="1"/>
    <col min="5122" max="5122" width="48.7109375" style="191" customWidth="1"/>
    <col min="5123" max="5124" width="16.140625" style="191" customWidth="1"/>
    <col min="5125" max="5125" width="18.42578125" style="191" customWidth="1"/>
    <col min="5126" max="5126" width="16.85546875" style="191" customWidth="1"/>
    <col min="5127" max="5127" width="16.7109375" style="191" customWidth="1"/>
    <col min="5128" max="5129" width="13.85546875" style="191" customWidth="1"/>
    <col min="5130" max="5130" width="17.7109375" style="191" customWidth="1"/>
    <col min="5131" max="5131" width="16.42578125" style="191" customWidth="1"/>
    <col min="5132" max="5132" width="15.42578125" style="191" customWidth="1"/>
    <col min="5133" max="5133" width="14.7109375" style="191" customWidth="1"/>
    <col min="5134" max="5134" width="15.28515625" style="191" customWidth="1"/>
    <col min="5135" max="5137" width="14.7109375" style="191" customWidth="1"/>
    <col min="5138" max="5138" width="15.5703125" style="191" customWidth="1"/>
    <col min="5139" max="5139" width="18" style="191" customWidth="1"/>
    <col min="5140" max="5141" width="14.7109375" style="191" customWidth="1"/>
    <col min="5142" max="5143" width="15.85546875" style="191" customWidth="1"/>
    <col min="5144" max="5146" width="14.7109375" style="191" customWidth="1"/>
    <col min="5147" max="5147" width="15.85546875" style="191" customWidth="1"/>
    <col min="5148" max="5165" width="14.7109375" style="191" customWidth="1"/>
    <col min="5166" max="5177" width="0" style="191" hidden="1" customWidth="1"/>
    <col min="5178" max="5178" width="14.7109375" style="191" customWidth="1"/>
    <col min="5179" max="5376" width="9.140625" style="191"/>
    <col min="5377" max="5377" width="13.42578125" style="191" customWidth="1"/>
    <col min="5378" max="5378" width="48.7109375" style="191" customWidth="1"/>
    <col min="5379" max="5380" width="16.140625" style="191" customWidth="1"/>
    <col min="5381" max="5381" width="18.42578125" style="191" customWidth="1"/>
    <col min="5382" max="5382" width="16.85546875" style="191" customWidth="1"/>
    <col min="5383" max="5383" width="16.7109375" style="191" customWidth="1"/>
    <col min="5384" max="5385" width="13.85546875" style="191" customWidth="1"/>
    <col min="5386" max="5386" width="17.7109375" style="191" customWidth="1"/>
    <col min="5387" max="5387" width="16.42578125" style="191" customWidth="1"/>
    <col min="5388" max="5388" width="15.42578125" style="191" customWidth="1"/>
    <col min="5389" max="5389" width="14.7109375" style="191" customWidth="1"/>
    <col min="5390" max="5390" width="15.28515625" style="191" customWidth="1"/>
    <col min="5391" max="5393" width="14.7109375" style="191" customWidth="1"/>
    <col min="5394" max="5394" width="15.5703125" style="191" customWidth="1"/>
    <col min="5395" max="5395" width="18" style="191" customWidth="1"/>
    <col min="5396" max="5397" width="14.7109375" style="191" customWidth="1"/>
    <col min="5398" max="5399" width="15.85546875" style="191" customWidth="1"/>
    <col min="5400" max="5402" width="14.7109375" style="191" customWidth="1"/>
    <col min="5403" max="5403" width="15.85546875" style="191" customWidth="1"/>
    <col min="5404" max="5421" width="14.7109375" style="191" customWidth="1"/>
    <col min="5422" max="5433" width="0" style="191" hidden="1" customWidth="1"/>
    <col min="5434" max="5434" width="14.7109375" style="191" customWidth="1"/>
    <col min="5435" max="5632" width="9.140625" style="191"/>
    <col min="5633" max="5633" width="13.42578125" style="191" customWidth="1"/>
    <col min="5634" max="5634" width="48.7109375" style="191" customWidth="1"/>
    <col min="5635" max="5636" width="16.140625" style="191" customWidth="1"/>
    <col min="5637" max="5637" width="18.42578125" style="191" customWidth="1"/>
    <col min="5638" max="5638" width="16.85546875" style="191" customWidth="1"/>
    <col min="5639" max="5639" width="16.7109375" style="191" customWidth="1"/>
    <col min="5640" max="5641" width="13.85546875" style="191" customWidth="1"/>
    <col min="5642" max="5642" width="17.7109375" style="191" customWidth="1"/>
    <col min="5643" max="5643" width="16.42578125" style="191" customWidth="1"/>
    <col min="5644" max="5644" width="15.42578125" style="191" customWidth="1"/>
    <col min="5645" max="5645" width="14.7109375" style="191" customWidth="1"/>
    <col min="5646" max="5646" width="15.28515625" style="191" customWidth="1"/>
    <col min="5647" max="5649" width="14.7109375" style="191" customWidth="1"/>
    <col min="5650" max="5650" width="15.5703125" style="191" customWidth="1"/>
    <col min="5651" max="5651" width="18" style="191" customWidth="1"/>
    <col min="5652" max="5653" width="14.7109375" style="191" customWidth="1"/>
    <col min="5654" max="5655" width="15.85546875" style="191" customWidth="1"/>
    <col min="5656" max="5658" width="14.7109375" style="191" customWidth="1"/>
    <col min="5659" max="5659" width="15.85546875" style="191" customWidth="1"/>
    <col min="5660" max="5677" width="14.7109375" style="191" customWidth="1"/>
    <col min="5678" max="5689" width="0" style="191" hidden="1" customWidth="1"/>
    <col min="5690" max="5690" width="14.7109375" style="191" customWidth="1"/>
    <col min="5691" max="5888" width="9.140625" style="191"/>
    <col min="5889" max="5889" width="13.42578125" style="191" customWidth="1"/>
    <col min="5890" max="5890" width="48.7109375" style="191" customWidth="1"/>
    <col min="5891" max="5892" width="16.140625" style="191" customWidth="1"/>
    <col min="5893" max="5893" width="18.42578125" style="191" customWidth="1"/>
    <col min="5894" max="5894" width="16.85546875" style="191" customWidth="1"/>
    <col min="5895" max="5895" width="16.7109375" style="191" customWidth="1"/>
    <col min="5896" max="5897" width="13.85546875" style="191" customWidth="1"/>
    <col min="5898" max="5898" width="17.7109375" style="191" customWidth="1"/>
    <col min="5899" max="5899" width="16.42578125" style="191" customWidth="1"/>
    <col min="5900" max="5900" width="15.42578125" style="191" customWidth="1"/>
    <col min="5901" max="5901" width="14.7109375" style="191" customWidth="1"/>
    <col min="5902" max="5902" width="15.28515625" style="191" customWidth="1"/>
    <col min="5903" max="5905" width="14.7109375" style="191" customWidth="1"/>
    <col min="5906" max="5906" width="15.5703125" style="191" customWidth="1"/>
    <col min="5907" max="5907" width="18" style="191" customWidth="1"/>
    <col min="5908" max="5909" width="14.7109375" style="191" customWidth="1"/>
    <col min="5910" max="5911" width="15.85546875" style="191" customWidth="1"/>
    <col min="5912" max="5914" width="14.7109375" style="191" customWidth="1"/>
    <col min="5915" max="5915" width="15.85546875" style="191" customWidth="1"/>
    <col min="5916" max="5933" width="14.7109375" style="191" customWidth="1"/>
    <col min="5934" max="5945" width="0" style="191" hidden="1" customWidth="1"/>
    <col min="5946" max="5946" width="14.7109375" style="191" customWidth="1"/>
    <col min="5947" max="6144" width="9.140625" style="191"/>
    <col min="6145" max="6145" width="13.42578125" style="191" customWidth="1"/>
    <col min="6146" max="6146" width="48.7109375" style="191" customWidth="1"/>
    <col min="6147" max="6148" width="16.140625" style="191" customWidth="1"/>
    <col min="6149" max="6149" width="18.42578125" style="191" customWidth="1"/>
    <col min="6150" max="6150" width="16.85546875" style="191" customWidth="1"/>
    <col min="6151" max="6151" width="16.7109375" style="191" customWidth="1"/>
    <col min="6152" max="6153" width="13.85546875" style="191" customWidth="1"/>
    <col min="6154" max="6154" width="17.7109375" style="191" customWidth="1"/>
    <col min="6155" max="6155" width="16.42578125" style="191" customWidth="1"/>
    <col min="6156" max="6156" width="15.42578125" style="191" customWidth="1"/>
    <col min="6157" max="6157" width="14.7109375" style="191" customWidth="1"/>
    <col min="6158" max="6158" width="15.28515625" style="191" customWidth="1"/>
    <col min="6159" max="6161" width="14.7109375" style="191" customWidth="1"/>
    <col min="6162" max="6162" width="15.5703125" style="191" customWidth="1"/>
    <col min="6163" max="6163" width="18" style="191" customWidth="1"/>
    <col min="6164" max="6165" width="14.7109375" style="191" customWidth="1"/>
    <col min="6166" max="6167" width="15.85546875" style="191" customWidth="1"/>
    <col min="6168" max="6170" width="14.7109375" style="191" customWidth="1"/>
    <col min="6171" max="6171" width="15.85546875" style="191" customWidth="1"/>
    <col min="6172" max="6189" width="14.7109375" style="191" customWidth="1"/>
    <col min="6190" max="6201" width="0" style="191" hidden="1" customWidth="1"/>
    <col min="6202" max="6202" width="14.7109375" style="191" customWidth="1"/>
    <col min="6203" max="6400" width="9.140625" style="191"/>
    <col min="6401" max="6401" width="13.42578125" style="191" customWidth="1"/>
    <col min="6402" max="6402" width="48.7109375" style="191" customWidth="1"/>
    <col min="6403" max="6404" width="16.140625" style="191" customWidth="1"/>
    <col min="6405" max="6405" width="18.42578125" style="191" customWidth="1"/>
    <col min="6406" max="6406" width="16.85546875" style="191" customWidth="1"/>
    <col min="6407" max="6407" width="16.7109375" style="191" customWidth="1"/>
    <col min="6408" max="6409" width="13.85546875" style="191" customWidth="1"/>
    <col min="6410" max="6410" width="17.7109375" style="191" customWidth="1"/>
    <col min="6411" max="6411" width="16.42578125" style="191" customWidth="1"/>
    <col min="6412" max="6412" width="15.42578125" style="191" customWidth="1"/>
    <col min="6413" max="6413" width="14.7109375" style="191" customWidth="1"/>
    <col min="6414" max="6414" width="15.28515625" style="191" customWidth="1"/>
    <col min="6415" max="6417" width="14.7109375" style="191" customWidth="1"/>
    <col min="6418" max="6418" width="15.5703125" style="191" customWidth="1"/>
    <col min="6419" max="6419" width="18" style="191" customWidth="1"/>
    <col min="6420" max="6421" width="14.7109375" style="191" customWidth="1"/>
    <col min="6422" max="6423" width="15.85546875" style="191" customWidth="1"/>
    <col min="6424" max="6426" width="14.7109375" style="191" customWidth="1"/>
    <col min="6427" max="6427" width="15.85546875" style="191" customWidth="1"/>
    <col min="6428" max="6445" width="14.7109375" style="191" customWidth="1"/>
    <col min="6446" max="6457" width="0" style="191" hidden="1" customWidth="1"/>
    <col min="6458" max="6458" width="14.7109375" style="191" customWidth="1"/>
    <col min="6459" max="6656" width="9.140625" style="191"/>
    <col min="6657" max="6657" width="13.42578125" style="191" customWidth="1"/>
    <col min="6658" max="6658" width="48.7109375" style="191" customWidth="1"/>
    <col min="6659" max="6660" width="16.140625" style="191" customWidth="1"/>
    <col min="6661" max="6661" width="18.42578125" style="191" customWidth="1"/>
    <col min="6662" max="6662" width="16.85546875" style="191" customWidth="1"/>
    <col min="6663" max="6663" width="16.7109375" style="191" customWidth="1"/>
    <col min="6664" max="6665" width="13.85546875" style="191" customWidth="1"/>
    <col min="6666" max="6666" width="17.7109375" style="191" customWidth="1"/>
    <col min="6667" max="6667" width="16.42578125" style="191" customWidth="1"/>
    <col min="6668" max="6668" width="15.42578125" style="191" customWidth="1"/>
    <col min="6669" max="6669" width="14.7109375" style="191" customWidth="1"/>
    <col min="6670" max="6670" width="15.28515625" style="191" customWidth="1"/>
    <col min="6671" max="6673" width="14.7109375" style="191" customWidth="1"/>
    <col min="6674" max="6674" width="15.5703125" style="191" customWidth="1"/>
    <col min="6675" max="6675" width="18" style="191" customWidth="1"/>
    <col min="6676" max="6677" width="14.7109375" style="191" customWidth="1"/>
    <col min="6678" max="6679" width="15.85546875" style="191" customWidth="1"/>
    <col min="6680" max="6682" width="14.7109375" style="191" customWidth="1"/>
    <col min="6683" max="6683" width="15.85546875" style="191" customWidth="1"/>
    <col min="6684" max="6701" width="14.7109375" style="191" customWidth="1"/>
    <col min="6702" max="6713" width="0" style="191" hidden="1" customWidth="1"/>
    <col min="6714" max="6714" width="14.7109375" style="191" customWidth="1"/>
    <col min="6715" max="6912" width="9.140625" style="191"/>
    <col min="6913" max="6913" width="13.42578125" style="191" customWidth="1"/>
    <col min="6914" max="6914" width="48.7109375" style="191" customWidth="1"/>
    <col min="6915" max="6916" width="16.140625" style="191" customWidth="1"/>
    <col min="6917" max="6917" width="18.42578125" style="191" customWidth="1"/>
    <col min="6918" max="6918" width="16.85546875" style="191" customWidth="1"/>
    <col min="6919" max="6919" width="16.7109375" style="191" customWidth="1"/>
    <col min="6920" max="6921" width="13.85546875" style="191" customWidth="1"/>
    <col min="6922" max="6922" width="17.7109375" style="191" customWidth="1"/>
    <col min="6923" max="6923" width="16.42578125" style="191" customWidth="1"/>
    <col min="6924" max="6924" width="15.42578125" style="191" customWidth="1"/>
    <col min="6925" max="6925" width="14.7109375" style="191" customWidth="1"/>
    <col min="6926" max="6926" width="15.28515625" style="191" customWidth="1"/>
    <col min="6927" max="6929" width="14.7109375" style="191" customWidth="1"/>
    <col min="6930" max="6930" width="15.5703125" style="191" customWidth="1"/>
    <col min="6931" max="6931" width="18" style="191" customWidth="1"/>
    <col min="6932" max="6933" width="14.7109375" style="191" customWidth="1"/>
    <col min="6934" max="6935" width="15.85546875" style="191" customWidth="1"/>
    <col min="6936" max="6938" width="14.7109375" style="191" customWidth="1"/>
    <col min="6939" max="6939" width="15.85546875" style="191" customWidth="1"/>
    <col min="6940" max="6957" width="14.7109375" style="191" customWidth="1"/>
    <col min="6958" max="6969" width="0" style="191" hidden="1" customWidth="1"/>
    <col min="6970" max="6970" width="14.7109375" style="191" customWidth="1"/>
    <col min="6971" max="7168" width="9.140625" style="191"/>
    <col min="7169" max="7169" width="13.42578125" style="191" customWidth="1"/>
    <col min="7170" max="7170" width="48.7109375" style="191" customWidth="1"/>
    <col min="7171" max="7172" width="16.140625" style="191" customWidth="1"/>
    <col min="7173" max="7173" width="18.42578125" style="191" customWidth="1"/>
    <col min="7174" max="7174" width="16.85546875" style="191" customWidth="1"/>
    <col min="7175" max="7175" width="16.7109375" style="191" customWidth="1"/>
    <col min="7176" max="7177" width="13.85546875" style="191" customWidth="1"/>
    <col min="7178" max="7178" width="17.7109375" style="191" customWidth="1"/>
    <col min="7179" max="7179" width="16.42578125" style="191" customWidth="1"/>
    <col min="7180" max="7180" width="15.42578125" style="191" customWidth="1"/>
    <col min="7181" max="7181" width="14.7109375" style="191" customWidth="1"/>
    <col min="7182" max="7182" width="15.28515625" style="191" customWidth="1"/>
    <col min="7183" max="7185" width="14.7109375" style="191" customWidth="1"/>
    <col min="7186" max="7186" width="15.5703125" style="191" customWidth="1"/>
    <col min="7187" max="7187" width="18" style="191" customWidth="1"/>
    <col min="7188" max="7189" width="14.7109375" style="191" customWidth="1"/>
    <col min="7190" max="7191" width="15.85546875" style="191" customWidth="1"/>
    <col min="7192" max="7194" width="14.7109375" style="191" customWidth="1"/>
    <col min="7195" max="7195" width="15.85546875" style="191" customWidth="1"/>
    <col min="7196" max="7213" width="14.7109375" style="191" customWidth="1"/>
    <col min="7214" max="7225" width="0" style="191" hidden="1" customWidth="1"/>
    <col min="7226" max="7226" width="14.7109375" style="191" customWidth="1"/>
    <col min="7227" max="7424" width="9.140625" style="191"/>
    <col min="7425" max="7425" width="13.42578125" style="191" customWidth="1"/>
    <col min="7426" max="7426" width="48.7109375" style="191" customWidth="1"/>
    <col min="7427" max="7428" width="16.140625" style="191" customWidth="1"/>
    <col min="7429" max="7429" width="18.42578125" style="191" customWidth="1"/>
    <col min="7430" max="7430" width="16.85546875" style="191" customWidth="1"/>
    <col min="7431" max="7431" width="16.7109375" style="191" customWidth="1"/>
    <col min="7432" max="7433" width="13.85546875" style="191" customWidth="1"/>
    <col min="7434" max="7434" width="17.7109375" style="191" customWidth="1"/>
    <col min="7435" max="7435" width="16.42578125" style="191" customWidth="1"/>
    <col min="7436" max="7436" width="15.42578125" style="191" customWidth="1"/>
    <col min="7437" max="7437" width="14.7109375" style="191" customWidth="1"/>
    <col min="7438" max="7438" width="15.28515625" style="191" customWidth="1"/>
    <col min="7439" max="7441" width="14.7109375" style="191" customWidth="1"/>
    <col min="7442" max="7442" width="15.5703125" style="191" customWidth="1"/>
    <col min="7443" max="7443" width="18" style="191" customWidth="1"/>
    <col min="7444" max="7445" width="14.7109375" style="191" customWidth="1"/>
    <col min="7446" max="7447" width="15.85546875" style="191" customWidth="1"/>
    <col min="7448" max="7450" width="14.7109375" style="191" customWidth="1"/>
    <col min="7451" max="7451" width="15.85546875" style="191" customWidth="1"/>
    <col min="7452" max="7469" width="14.7109375" style="191" customWidth="1"/>
    <col min="7470" max="7481" width="0" style="191" hidden="1" customWidth="1"/>
    <col min="7482" max="7482" width="14.7109375" style="191" customWidth="1"/>
    <col min="7483" max="7680" width="9.140625" style="191"/>
    <col min="7681" max="7681" width="13.42578125" style="191" customWidth="1"/>
    <col min="7682" max="7682" width="48.7109375" style="191" customWidth="1"/>
    <col min="7683" max="7684" width="16.140625" style="191" customWidth="1"/>
    <col min="7685" max="7685" width="18.42578125" style="191" customWidth="1"/>
    <col min="7686" max="7686" width="16.85546875" style="191" customWidth="1"/>
    <col min="7687" max="7687" width="16.7109375" style="191" customWidth="1"/>
    <col min="7688" max="7689" width="13.85546875" style="191" customWidth="1"/>
    <col min="7690" max="7690" width="17.7109375" style="191" customWidth="1"/>
    <col min="7691" max="7691" width="16.42578125" style="191" customWidth="1"/>
    <col min="7692" max="7692" width="15.42578125" style="191" customWidth="1"/>
    <col min="7693" max="7693" width="14.7109375" style="191" customWidth="1"/>
    <col min="7694" max="7694" width="15.28515625" style="191" customWidth="1"/>
    <col min="7695" max="7697" width="14.7109375" style="191" customWidth="1"/>
    <col min="7698" max="7698" width="15.5703125" style="191" customWidth="1"/>
    <col min="7699" max="7699" width="18" style="191" customWidth="1"/>
    <col min="7700" max="7701" width="14.7109375" style="191" customWidth="1"/>
    <col min="7702" max="7703" width="15.85546875" style="191" customWidth="1"/>
    <col min="7704" max="7706" width="14.7109375" style="191" customWidth="1"/>
    <col min="7707" max="7707" width="15.85546875" style="191" customWidth="1"/>
    <col min="7708" max="7725" width="14.7109375" style="191" customWidth="1"/>
    <col min="7726" max="7737" width="0" style="191" hidden="1" customWidth="1"/>
    <col min="7738" max="7738" width="14.7109375" style="191" customWidth="1"/>
    <col min="7739" max="7936" width="9.140625" style="191"/>
    <col min="7937" max="7937" width="13.42578125" style="191" customWidth="1"/>
    <col min="7938" max="7938" width="48.7109375" style="191" customWidth="1"/>
    <col min="7939" max="7940" width="16.140625" style="191" customWidth="1"/>
    <col min="7941" max="7941" width="18.42578125" style="191" customWidth="1"/>
    <col min="7942" max="7942" width="16.85546875" style="191" customWidth="1"/>
    <col min="7943" max="7943" width="16.7109375" style="191" customWidth="1"/>
    <col min="7944" max="7945" width="13.85546875" style="191" customWidth="1"/>
    <col min="7946" max="7946" width="17.7109375" style="191" customWidth="1"/>
    <col min="7947" max="7947" width="16.42578125" style="191" customWidth="1"/>
    <col min="7948" max="7948" width="15.42578125" style="191" customWidth="1"/>
    <col min="7949" max="7949" width="14.7109375" style="191" customWidth="1"/>
    <col min="7950" max="7950" width="15.28515625" style="191" customWidth="1"/>
    <col min="7951" max="7953" width="14.7109375" style="191" customWidth="1"/>
    <col min="7954" max="7954" width="15.5703125" style="191" customWidth="1"/>
    <col min="7955" max="7955" width="18" style="191" customWidth="1"/>
    <col min="7956" max="7957" width="14.7109375" style="191" customWidth="1"/>
    <col min="7958" max="7959" width="15.85546875" style="191" customWidth="1"/>
    <col min="7960" max="7962" width="14.7109375" style="191" customWidth="1"/>
    <col min="7963" max="7963" width="15.85546875" style="191" customWidth="1"/>
    <col min="7964" max="7981" width="14.7109375" style="191" customWidth="1"/>
    <col min="7982" max="7993" width="0" style="191" hidden="1" customWidth="1"/>
    <col min="7994" max="7994" width="14.7109375" style="191" customWidth="1"/>
    <col min="7995" max="8192" width="9.140625" style="191"/>
    <col min="8193" max="8193" width="13.42578125" style="191" customWidth="1"/>
    <col min="8194" max="8194" width="48.7109375" style="191" customWidth="1"/>
    <col min="8195" max="8196" width="16.140625" style="191" customWidth="1"/>
    <col min="8197" max="8197" width="18.42578125" style="191" customWidth="1"/>
    <col min="8198" max="8198" width="16.85546875" style="191" customWidth="1"/>
    <col min="8199" max="8199" width="16.7109375" style="191" customWidth="1"/>
    <col min="8200" max="8201" width="13.85546875" style="191" customWidth="1"/>
    <col min="8202" max="8202" width="17.7109375" style="191" customWidth="1"/>
    <col min="8203" max="8203" width="16.42578125" style="191" customWidth="1"/>
    <col min="8204" max="8204" width="15.42578125" style="191" customWidth="1"/>
    <col min="8205" max="8205" width="14.7109375" style="191" customWidth="1"/>
    <col min="8206" max="8206" width="15.28515625" style="191" customWidth="1"/>
    <col min="8207" max="8209" width="14.7109375" style="191" customWidth="1"/>
    <col min="8210" max="8210" width="15.5703125" style="191" customWidth="1"/>
    <col min="8211" max="8211" width="18" style="191" customWidth="1"/>
    <col min="8212" max="8213" width="14.7109375" style="191" customWidth="1"/>
    <col min="8214" max="8215" width="15.85546875" style="191" customWidth="1"/>
    <col min="8216" max="8218" width="14.7109375" style="191" customWidth="1"/>
    <col min="8219" max="8219" width="15.85546875" style="191" customWidth="1"/>
    <col min="8220" max="8237" width="14.7109375" style="191" customWidth="1"/>
    <col min="8238" max="8249" width="0" style="191" hidden="1" customWidth="1"/>
    <col min="8250" max="8250" width="14.7109375" style="191" customWidth="1"/>
    <col min="8251" max="8448" width="9.140625" style="191"/>
    <col min="8449" max="8449" width="13.42578125" style="191" customWidth="1"/>
    <col min="8450" max="8450" width="48.7109375" style="191" customWidth="1"/>
    <col min="8451" max="8452" width="16.140625" style="191" customWidth="1"/>
    <col min="8453" max="8453" width="18.42578125" style="191" customWidth="1"/>
    <col min="8454" max="8454" width="16.85546875" style="191" customWidth="1"/>
    <col min="8455" max="8455" width="16.7109375" style="191" customWidth="1"/>
    <col min="8456" max="8457" width="13.85546875" style="191" customWidth="1"/>
    <col min="8458" max="8458" width="17.7109375" style="191" customWidth="1"/>
    <col min="8459" max="8459" width="16.42578125" style="191" customWidth="1"/>
    <col min="8460" max="8460" width="15.42578125" style="191" customWidth="1"/>
    <col min="8461" max="8461" width="14.7109375" style="191" customWidth="1"/>
    <col min="8462" max="8462" width="15.28515625" style="191" customWidth="1"/>
    <col min="8463" max="8465" width="14.7109375" style="191" customWidth="1"/>
    <col min="8466" max="8466" width="15.5703125" style="191" customWidth="1"/>
    <col min="8467" max="8467" width="18" style="191" customWidth="1"/>
    <col min="8468" max="8469" width="14.7109375" style="191" customWidth="1"/>
    <col min="8470" max="8471" width="15.85546875" style="191" customWidth="1"/>
    <col min="8472" max="8474" width="14.7109375" style="191" customWidth="1"/>
    <col min="8475" max="8475" width="15.85546875" style="191" customWidth="1"/>
    <col min="8476" max="8493" width="14.7109375" style="191" customWidth="1"/>
    <col min="8494" max="8505" width="0" style="191" hidden="1" customWidth="1"/>
    <col min="8506" max="8506" width="14.7109375" style="191" customWidth="1"/>
    <col min="8507" max="8704" width="9.140625" style="191"/>
    <col min="8705" max="8705" width="13.42578125" style="191" customWidth="1"/>
    <col min="8706" max="8706" width="48.7109375" style="191" customWidth="1"/>
    <col min="8707" max="8708" width="16.140625" style="191" customWidth="1"/>
    <col min="8709" max="8709" width="18.42578125" style="191" customWidth="1"/>
    <col min="8710" max="8710" width="16.85546875" style="191" customWidth="1"/>
    <col min="8711" max="8711" width="16.7109375" style="191" customWidth="1"/>
    <col min="8712" max="8713" width="13.85546875" style="191" customWidth="1"/>
    <col min="8714" max="8714" width="17.7109375" style="191" customWidth="1"/>
    <col min="8715" max="8715" width="16.42578125" style="191" customWidth="1"/>
    <col min="8716" max="8716" width="15.42578125" style="191" customWidth="1"/>
    <col min="8717" max="8717" width="14.7109375" style="191" customWidth="1"/>
    <col min="8718" max="8718" width="15.28515625" style="191" customWidth="1"/>
    <col min="8719" max="8721" width="14.7109375" style="191" customWidth="1"/>
    <col min="8722" max="8722" width="15.5703125" style="191" customWidth="1"/>
    <col min="8723" max="8723" width="18" style="191" customWidth="1"/>
    <col min="8724" max="8725" width="14.7109375" style="191" customWidth="1"/>
    <col min="8726" max="8727" width="15.85546875" style="191" customWidth="1"/>
    <col min="8728" max="8730" width="14.7109375" style="191" customWidth="1"/>
    <col min="8731" max="8731" width="15.85546875" style="191" customWidth="1"/>
    <col min="8732" max="8749" width="14.7109375" style="191" customWidth="1"/>
    <col min="8750" max="8761" width="0" style="191" hidden="1" customWidth="1"/>
    <col min="8762" max="8762" width="14.7109375" style="191" customWidth="1"/>
    <col min="8763" max="8960" width="9.140625" style="191"/>
    <col min="8961" max="8961" width="13.42578125" style="191" customWidth="1"/>
    <col min="8962" max="8962" width="48.7109375" style="191" customWidth="1"/>
    <col min="8963" max="8964" width="16.140625" style="191" customWidth="1"/>
    <col min="8965" max="8965" width="18.42578125" style="191" customWidth="1"/>
    <col min="8966" max="8966" width="16.85546875" style="191" customWidth="1"/>
    <col min="8967" max="8967" width="16.7109375" style="191" customWidth="1"/>
    <col min="8968" max="8969" width="13.85546875" style="191" customWidth="1"/>
    <col min="8970" max="8970" width="17.7109375" style="191" customWidth="1"/>
    <col min="8971" max="8971" width="16.42578125" style="191" customWidth="1"/>
    <col min="8972" max="8972" width="15.42578125" style="191" customWidth="1"/>
    <col min="8973" max="8973" width="14.7109375" style="191" customWidth="1"/>
    <col min="8974" max="8974" width="15.28515625" style="191" customWidth="1"/>
    <col min="8975" max="8977" width="14.7109375" style="191" customWidth="1"/>
    <col min="8978" max="8978" width="15.5703125" style="191" customWidth="1"/>
    <col min="8979" max="8979" width="18" style="191" customWidth="1"/>
    <col min="8980" max="8981" width="14.7109375" style="191" customWidth="1"/>
    <col min="8982" max="8983" width="15.85546875" style="191" customWidth="1"/>
    <col min="8984" max="8986" width="14.7109375" style="191" customWidth="1"/>
    <col min="8987" max="8987" width="15.85546875" style="191" customWidth="1"/>
    <col min="8988" max="9005" width="14.7109375" style="191" customWidth="1"/>
    <col min="9006" max="9017" width="0" style="191" hidden="1" customWidth="1"/>
    <col min="9018" max="9018" width="14.7109375" style="191" customWidth="1"/>
    <col min="9019" max="9216" width="9.140625" style="191"/>
    <col min="9217" max="9217" width="13.42578125" style="191" customWidth="1"/>
    <col min="9218" max="9218" width="48.7109375" style="191" customWidth="1"/>
    <col min="9219" max="9220" width="16.140625" style="191" customWidth="1"/>
    <col min="9221" max="9221" width="18.42578125" style="191" customWidth="1"/>
    <col min="9222" max="9222" width="16.85546875" style="191" customWidth="1"/>
    <col min="9223" max="9223" width="16.7109375" style="191" customWidth="1"/>
    <col min="9224" max="9225" width="13.85546875" style="191" customWidth="1"/>
    <col min="9226" max="9226" width="17.7109375" style="191" customWidth="1"/>
    <col min="9227" max="9227" width="16.42578125" style="191" customWidth="1"/>
    <col min="9228" max="9228" width="15.42578125" style="191" customWidth="1"/>
    <col min="9229" max="9229" width="14.7109375" style="191" customWidth="1"/>
    <col min="9230" max="9230" width="15.28515625" style="191" customWidth="1"/>
    <col min="9231" max="9233" width="14.7109375" style="191" customWidth="1"/>
    <col min="9234" max="9234" width="15.5703125" style="191" customWidth="1"/>
    <col min="9235" max="9235" width="18" style="191" customWidth="1"/>
    <col min="9236" max="9237" width="14.7109375" style="191" customWidth="1"/>
    <col min="9238" max="9239" width="15.85546875" style="191" customWidth="1"/>
    <col min="9240" max="9242" width="14.7109375" style="191" customWidth="1"/>
    <col min="9243" max="9243" width="15.85546875" style="191" customWidth="1"/>
    <col min="9244" max="9261" width="14.7109375" style="191" customWidth="1"/>
    <col min="9262" max="9273" width="0" style="191" hidden="1" customWidth="1"/>
    <col min="9274" max="9274" width="14.7109375" style="191" customWidth="1"/>
    <col min="9275" max="9472" width="9.140625" style="191"/>
    <col min="9473" max="9473" width="13.42578125" style="191" customWidth="1"/>
    <col min="9474" max="9474" width="48.7109375" style="191" customWidth="1"/>
    <col min="9475" max="9476" width="16.140625" style="191" customWidth="1"/>
    <col min="9477" max="9477" width="18.42578125" style="191" customWidth="1"/>
    <col min="9478" max="9478" width="16.85546875" style="191" customWidth="1"/>
    <col min="9479" max="9479" width="16.7109375" style="191" customWidth="1"/>
    <col min="9480" max="9481" width="13.85546875" style="191" customWidth="1"/>
    <col min="9482" max="9482" width="17.7109375" style="191" customWidth="1"/>
    <col min="9483" max="9483" width="16.42578125" style="191" customWidth="1"/>
    <col min="9484" max="9484" width="15.42578125" style="191" customWidth="1"/>
    <col min="9485" max="9485" width="14.7109375" style="191" customWidth="1"/>
    <col min="9486" max="9486" width="15.28515625" style="191" customWidth="1"/>
    <col min="9487" max="9489" width="14.7109375" style="191" customWidth="1"/>
    <col min="9490" max="9490" width="15.5703125" style="191" customWidth="1"/>
    <col min="9491" max="9491" width="18" style="191" customWidth="1"/>
    <col min="9492" max="9493" width="14.7109375" style="191" customWidth="1"/>
    <col min="9494" max="9495" width="15.85546875" style="191" customWidth="1"/>
    <col min="9496" max="9498" width="14.7109375" style="191" customWidth="1"/>
    <col min="9499" max="9499" width="15.85546875" style="191" customWidth="1"/>
    <col min="9500" max="9517" width="14.7109375" style="191" customWidth="1"/>
    <col min="9518" max="9529" width="0" style="191" hidden="1" customWidth="1"/>
    <col min="9530" max="9530" width="14.7109375" style="191" customWidth="1"/>
    <col min="9531" max="9728" width="9.140625" style="191"/>
    <col min="9729" max="9729" width="13.42578125" style="191" customWidth="1"/>
    <col min="9730" max="9730" width="48.7109375" style="191" customWidth="1"/>
    <col min="9731" max="9732" width="16.140625" style="191" customWidth="1"/>
    <col min="9733" max="9733" width="18.42578125" style="191" customWidth="1"/>
    <col min="9734" max="9734" width="16.85546875" style="191" customWidth="1"/>
    <col min="9735" max="9735" width="16.7109375" style="191" customWidth="1"/>
    <col min="9736" max="9737" width="13.85546875" style="191" customWidth="1"/>
    <col min="9738" max="9738" width="17.7109375" style="191" customWidth="1"/>
    <col min="9739" max="9739" width="16.42578125" style="191" customWidth="1"/>
    <col min="9740" max="9740" width="15.42578125" style="191" customWidth="1"/>
    <col min="9741" max="9741" width="14.7109375" style="191" customWidth="1"/>
    <col min="9742" max="9742" width="15.28515625" style="191" customWidth="1"/>
    <col min="9743" max="9745" width="14.7109375" style="191" customWidth="1"/>
    <col min="9746" max="9746" width="15.5703125" style="191" customWidth="1"/>
    <col min="9747" max="9747" width="18" style="191" customWidth="1"/>
    <col min="9748" max="9749" width="14.7109375" style="191" customWidth="1"/>
    <col min="9750" max="9751" width="15.85546875" style="191" customWidth="1"/>
    <col min="9752" max="9754" width="14.7109375" style="191" customWidth="1"/>
    <col min="9755" max="9755" width="15.85546875" style="191" customWidth="1"/>
    <col min="9756" max="9773" width="14.7109375" style="191" customWidth="1"/>
    <col min="9774" max="9785" width="0" style="191" hidden="1" customWidth="1"/>
    <col min="9786" max="9786" width="14.7109375" style="191" customWidth="1"/>
    <col min="9787" max="9984" width="9.140625" style="191"/>
    <col min="9985" max="9985" width="13.42578125" style="191" customWidth="1"/>
    <col min="9986" max="9986" width="48.7109375" style="191" customWidth="1"/>
    <col min="9987" max="9988" width="16.140625" style="191" customWidth="1"/>
    <col min="9989" max="9989" width="18.42578125" style="191" customWidth="1"/>
    <col min="9990" max="9990" width="16.85546875" style="191" customWidth="1"/>
    <col min="9991" max="9991" width="16.7109375" style="191" customWidth="1"/>
    <col min="9992" max="9993" width="13.85546875" style="191" customWidth="1"/>
    <col min="9994" max="9994" width="17.7109375" style="191" customWidth="1"/>
    <col min="9995" max="9995" width="16.42578125" style="191" customWidth="1"/>
    <col min="9996" max="9996" width="15.42578125" style="191" customWidth="1"/>
    <col min="9997" max="9997" width="14.7109375" style="191" customWidth="1"/>
    <col min="9998" max="9998" width="15.28515625" style="191" customWidth="1"/>
    <col min="9999" max="10001" width="14.7109375" style="191" customWidth="1"/>
    <col min="10002" max="10002" width="15.5703125" style="191" customWidth="1"/>
    <col min="10003" max="10003" width="18" style="191" customWidth="1"/>
    <col min="10004" max="10005" width="14.7109375" style="191" customWidth="1"/>
    <col min="10006" max="10007" width="15.85546875" style="191" customWidth="1"/>
    <col min="10008" max="10010" width="14.7109375" style="191" customWidth="1"/>
    <col min="10011" max="10011" width="15.85546875" style="191" customWidth="1"/>
    <col min="10012" max="10029" width="14.7109375" style="191" customWidth="1"/>
    <col min="10030" max="10041" width="0" style="191" hidden="1" customWidth="1"/>
    <col min="10042" max="10042" width="14.7109375" style="191" customWidth="1"/>
    <col min="10043" max="10240" width="9.140625" style="191"/>
    <col min="10241" max="10241" width="13.42578125" style="191" customWidth="1"/>
    <col min="10242" max="10242" width="48.7109375" style="191" customWidth="1"/>
    <col min="10243" max="10244" width="16.140625" style="191" customWidth="1"/>
    <col min="10245" max="10245" width="18.42578125" style="191" customWidth="1"/>
    <col min="10246" max="10246" width="16.85546875" style="191" customWidth="1"/>
    <col min="10247" max="10247" width="16.7109375" style="191" customWidth="1"/>
    <col min="10248" max="10249" width="13.85546875" style="191" customWidth="1"/>
    <col min="10250" max="10250" width="17.7109375" style="191" customWidth="1"/>
    <col min="10251" max="10251" width="16.42578125" style="191" customWidth="1"/>
    <col min="10252" max="10252" width="15.42578125" style="191" customWidth="1"/>
    <col min="10253" max="10253" width="14.7109375" style="191" customWidth="1"/>
    <col min="10254" max="10254" width="15.28515625" style="191" customWidth="1"/>
    <col min="10255" max="10257" width="14.7109375" style="191" customWidth="1"/>
    <col min="10258" max="10258" width="15.5703125" style="191" customWidth="1"/>
    <col min="10259" max="10259" width="18" style="191" customWidth="1"/>
    <col min="10260" max="10261" width="14.7109375" style="191" customWidth="1"/>
    <col min="10262" max="10263" width="15.85546875" style="191" customWidth="1"/>
    <col min="10264" max="10266" width="14.7109375" style="191" customWidth="1"/>
    <col min="10267" max="10267" width="15.85546875" style="191" customWidth="1"/>
    <col min="10268" max="10285" width="14.7109375" style="191" customWidth="1"/>
    <col min="10286" max="10297" width="0" style="191" hidden="1" customWidth="1"/>
    <col min="10298" max="10298" width="14.7109375" style="191" customWidth="1"/>
    <col min="10299" max="10496" width="9.140625" style="191"/>
    <col min="10497" max="10497" width="13.42578125" style="191" customWidth="1"/>
    <col min="10498" max="10498" width="48.7109375" style="191" customWidth="1"/>
    <col min="10499" max="10500" width="16.140625" style="191" customWidth="1"/>
    <col min="10501" max="10501" width="18.42578125" style="191" customWidth="1"/>
    <col min="10502" max="10502" width="16.85546875" style="191" customWidth="1"/>
    <col min="10503" max="10503" width="16.7109375" style="191" customWidth="1"/>
    <col min="10504" max="10505" width="13.85546875" style="191" customWidth="1"/>
    <col min="10506" max="10506" width="17.7109375" style="191" customWidth="1"/>
    <col min="10507" max="10507" width="16.42578125" style="191" customWidth="1"/>
    <col min="10508" max="10508" width="15.42578125" style="191" customWidth="1"/>
    <col min="10509" max="10509" width="14.7109375" style="191" customWidth="1"/>
    <col min="10510" max="10510" width="15.28515625" style="191" customWidth="1"/>
    <col min="10511" max="10513" width="14.7109375" style="191" customWidth="1"/>
    <col min="10514" max="10514" width="15.5703125" style="191" customWidth="1"/>
    <col min="10515" max="10515" width="18" style="191" customWidth="1"/>
    <col min="10516" max="10517" width="14.7109375" style="191" customWidth="1"/>
    <col min="10518" max="10519" width="15.85546875" style="191" customWidth="1"/>
    <col min="10520" max="10522" width="14.7109375" style="191" customWidth="1"/>
    <col min="10523" max="10523" width="15.85546875" style="191" customWidth="1"/>
    <col min="10524" max="10541" width="14.7109375" style="191" customWidth="1"/>
    <col min="10542" max="10553" width="0" style="191" hidden="1" customWidth="1"/>
    <col min="10554" max="10554" width="14.7109375" style="191" customWidth="1"/>
    <col min="10555" max="10752" width="9.140625" style="191"/>
    <col min="10753" max="10753" width="13.42578125" style="191" customWidth="1"/>
    <col min="10754" max="10754" width="48.7109375" style="191" customWidth="1"/>
    <col min="10755" max="10756" width="16.140625" style="191" customWidth="1"/>
    <col min="10757" max="10757" width="18.42578125" style="191" customWidth="1"/>
    <col min="10758" max="10758" width="16.85546875" style="191" customWidth="1"/>
    <col min="10759" max="10759" width="16.7109375" style="191" customWidth="1"/>
    <col min="10760" max="10761" width="13.85546875" style="191" customWidth="1"/>
    <col min="10762" max="10762" width="17.7109375" style="191" customWidth="1"/>
    <col min="10763" max="10763" width="16.42578125" style="191" customWidth="1"/>
    <col min="10764" max="10764" width="15.42578125" style="191" customWidth="1"/>
    <col min="10765" max="10765" width="14.7109375" style="191" customWidth="1"/>
    <col min="10766" max="10766" width="15.28515625" style="191" customWidth="1"/>
    <col min="10767" max="10769" width="14.7109375" style="191" customWidth="1"/>
    <col min="10770" max="10770" width="15.5703125" style="191" customWidth="1"/>
    <col min="10771" max="10771" width="18" style="191" customWidth="1"/>
    <col min="10772" max="10773" width="14.7109375" style="191" customWidth="1"/>
    <col min="10774" max="10775" width="15.85546875" style="191" customWidth="1"/>
    <col min="10776" max="10778" width="14.7109375" style="191" customWidth="1"/>
    <col min="10779" max="10779" width="15.85546875" style="191" customWidth="1"/>
    <col min="10780" max="10797" width="14.7109375" style="191" customWidth="1"/>
    <col min="10798" max="10809" width="0" style="191" hidden="1" customWidth="1"/>
    <col min="10810" max="10810" width="14.7109375" style="191" customWidth="1"/>
    <col min="10811" max="11008" width="9.140625" style="191"/>
    <col min="11009" max="11009" width="13.42578125" style="191" customWidth="1"/>
    <col min="11010" max="11010" width="48.7109375" style="191" customWidth="1"/>
    <col min="11011" max="11012" width="16.140625" style="191" customWidth="1"/>
    <col min="11013" max="11013" width="18.42578125" style="191" customWidth="1"/>
    <col min="11014" max="11014" width="16.85546875" style="191" customWidth="1"/>
    <col min="11015" max="11015" width="16.7109375" style="191" customWidth="1"/>
    <col min="11016" max="11017" width="13.85546875" style="191" customWidth="1"/>
    <col min="11018" max="11018" width="17.7109375" style="191" customWidth="1"/>
    <col min="11019" max="11019" width="16.42578125" style="191" customWidth="1"/>
    <col min="11020" max="11020" width="15.42578125" style="191" customWidth="1"/>
    <col min="11021" max="11021" width="14.7109375" style="191" customWidth="1"/>
    <col min="11022" max="11022" width="15.28515625" style="191" customWidth="1"/>
    <col min="11023" max="11025" width="14.7109375" style="191" customWidth="1"/>
    <col min="11026" max="11026" width="15.5703125" style="191" customWidth="1"/>
    <col min="11027" max="11027" width="18" style="191" customWidth="1"/>
    <col min="11028" max="11029" width="14.7109375" style="191" customWidth="1"/>
    <col min="11030" max="11031" width="15.85546875" style="191" customWidth="1"/>
    <col min="11032" max="11034" width="14.7109375" style="191" customWidth="1"/>
    <col min="11035" max="11035" width="15.85546875" style="191" customWidth="1"/>
    <col min="11036" max="11053" width="14.7109375" style="191" customWidth="1"/>
    <col min="11054" max="11065" width="0" style="191" hidden="1" customWidth="1"/>
    <col min="11066" max="11066" width="14.7109375" style="191" customWidth="1"/>
    <col min="11067" max="11264" width="9.140625" style="191"/>
    <col min="11265" max="11265" width="13.42578125" style="191" customWidth="1"/>
    <col min="11266" max="11266" width="48.7109375" style="191" customWidth="1"/>
    <col min="11267" max="11268" width="16.140625" style="191" customWidth="1"/>
    <col min="11269" max="11269" width="18.42578125" style="191" customWidth="1"/>
    <col min="11270" max="11270" width="16.85546875" style="191" customWidth="1"/>
    <col min="11271" max="11271" width="16.7109375" style="191" customWidth="1"/>
    <col min="11272" max="11273" width="13.85546875" style="191" customWidth="1"/>
    <col min="11274" max="11274" width="17.7109375" style="191" customWidth="1"/>
    <col min="11275" max="11275" width="16.42578125" style="191" customWidth="1"/>
    <col min="11276" max="11276" width="15.42578125" style="191" customWidth="1"/>
    <col min="11277" max="11277" width="14.7109375" style="191" customWidth="1"/>
    <col min="11278" max="11278" width="15.28515625" style="191" customWidth="1"/>
    <col min="11279" max="11281" width="14.7109375" style="191" customWidth="1"/>
    <col min="11282" max="11282" width="15.5703125" style="191" customWidth="1"/>
    <col min="11283" max="11283" width="18" style="191" customWidth="1"/>
    <col min="11284" max="11285" width="14.7109375" style="191" customWidth="1"/>
    <col min="11286" max="11287" width="15.85546875" style="191" customWidth="1"/>
    <col min="11288" max="11290" width="14.7109375" style="191" customWidth="1"/>
    <col min="11291" max="11291" width="15.85546875" style="191" customWidth="1"/>
    <col min="11292" max="11309" width="14.7109375" style="191" customWidth="1"/>
    <col min="11310" max="11321" width="0" style="191" hidden="1" customWidth="1"/>
    <col min="11322" max="11322" width="14.7109375" style="191" customWidth="1"/>
    <col min="11323" max="11520" width="9.140625" style="191"/>
    <col min="11521" max="11521" width="13.42578125" style="191" customWidth="1"/>
    <col min="11522" max="11522" width="48.7109375" style="191" customWidth="1"/>
    <col min="11523" max="11524" width="16.140625" style="191" customWidth="1"/>
    <col min="11525" max="11525" width="18.42578125" style="191" customWidth="1"/>
    <col min="11526" max="11526" width="16.85546875" style="191" customWidth="1"/>
    <col min="11527" max="11527" width="16.7109375" style="191" customWidth="1"/>
    <col min="11528" max="11529" width="13.85546875" style="191" customWidth="1"/>
    <col min="11530" max="11530" width="17.7109375" style="191" customWidth="1"/>
    <col min="11531" max="11531" width="16.42578125" style="191" customWidth="1"/>
    <col min="11532" max="11532" width="15.42578125" style="191" customWidth="1"/>
    <col min="11533" max="11533" width="14.7109375" style="191" customWidth="1"/>
    <col min="11534" max="11534" width="15.28515625" style="191" customWidth="1"/>
    <col min="11535" max="11537" width="14.7109375" style="191" customWidth="1"/>
    <col min="11538" max="11538" width="15.5703125" style="191" customWidth="1"/>
    <col min="11539" max="11539" width="18" style="191" customWidth="1"/>
    <col min="11540" max="11541" width="14.7109375" style="191" customWidth="1"/>
    <col min="11542" max="11543" width="15.85546875" style="191" customWidth="1"/>
    <col min="11544" max="11546" width="14.7109375" style="191" customWidth="1"/>
    <col min="11547" max="11547" width="15.85546875" style="191" customWidth="1"/>
    <col min="11548" max="11565" width="14.7109375" style="191" customWidth="1"/>
    <col min="11566" max="11577" width="0" style="191" hidden="1" customWidth="1"/>
    <col min="11578" max="11578" width="14.7109375" style="191" customWidth="1"/>
    <col min="11579" max="11776" width="9.140625" style="191"/>
    <col min="11777" max="11777" width="13.42578125" style="191" customWidth="1"/>
    <col min="11778" max="11778" width="48.7109375" style="191" customWidth="1"/>
    <col min="11779" max="11780" width="16.140625" style="191" customWidth="1"/>
    <col min="11781" max="11781" width="18.42578125" style="191" customWidth="1"/>
    <col min="11782" max="11782" width="16.85546875" style="191" customWidth="1"/>
    <col min="11783" max="11783" width="16.7109375" style="191" customWidth="1"/>
    <col min="11784" max="11785" width="13.85546875" style="191" customWidth="1"/>
    <col min="11786" max="11786" width="17.7109375" style="191" customWidth="1"/>
    <col min="11787" max="11787" width="16.42578125" style="191" customWidth="1"/>
    <col min="11788" max="11788" width="15.42578125" style="191" customWidth="1"/>
    <col min="11789" max="11789" width="14.7109375" style="191" customWidth="1"/>
    <col min="11790" max="11790" width="15.28515625" style="191" customWidth="1"/>
    <col min="11791" max="11793" width="14.7109375" style="191" customWidth="1"/>
    <col min="11794" max="11794" width="15.5703125" style="191" customWidth="1"/>
    <col min="11795" max="11795" width="18" style="191" customWidth="1"/>
    <col min="11796" max="11797" width="14.7109375" style="191" customWidth="1"/>
    <col min="11798" max="11799" width="15.85546875" style="191" customWidth="1"/>
    <col min="11800" max="11802" width="14.7109375" style="191" customWidth="1"/>
    <col min="11803" max="11803" width="15.85546875" style="191" customWidth="1"/>
    <col min="11804" max="11821" width="14.7109375" style="191" customWidth="1"/>
    <col min="11822" max="11833" width="0" style="191" hidden="1" customWidth="1"/>
    <col min="11834" max="11834" width="14.7109375" style="191" customWidth="1"/>
    <col min="11835" max="12032" width="9.140625" style="191"/>
    <col min="12033" max="12033" width="13.42578125" style="191" customWidth="1"/>
    <col min="12034" max="12034" width="48.7109375" style="191" customWidth="1"/>
    <col min="12035" max="12036" width="16.140625" style="191" customWidth="1"/>
    <col min="12037" max="12037" width="18.42578125" style="191" customWidth="1"/>
    <col min="12038" max="12038" width="16.85546875" style="191" customWidth="1"/>
    <col min="12039" max="12039" width="16.7109375" style="191" customWidth="1"/>
    <col min="12040" max="12041" width="13.85546875" style="191" customWidth="1"/>
    <col min="12042" max="12042" width="17.7109375" style="191" customWidth="1"/>
    <col min="12043" max="12043" width="16.42578125" style="191" customWidth="1"/>
    <col min="12044" max="12044" width="15.42578125" style="191" customWidth="1"/>
    <col min="12045" max="12045" width="14.7109375" style="191" customWidth="1"/>
    <col min="12046" max="12046" width="15.28515625" style="191" customWidth="1"/>
    <col min="12047" max="12049" width="14.7109375" style="191" customWidth="1"/>
    <col min="12050" max="12050" width="15.5703125" style="191" customWidth="1"/>
    <col min="12051" max="12051" width="18" style="191" customWidth="1"/>
    <col min="12052" max="12053" width="14.7109375" style="191" customWidth="1"/>
    <col min="12054" max="12055" width="15.85546875" style="191" customWidth="1"/>
    <col min="12056" max="12058" width="14.7109375" style="191" customWidth="1"/>
    <col min="12059" max="12059" width="15.85546875" style="191" customWidth="1"/>
    <col min="12060" max="12077" width="14.7109375" style="191" customWidth="1"/>
    <col min="12078" max="12089" width="0" style="191" hidden="1" customWidth="1"/>
    <col min="12090" max="12090" width="14.7109375" style="191" customWidth="1"/>
    <col min="12091" max="12288" width="9.140625" style="191"/>
    <col min="12289" max="12289" width="13.42578125" style="191" customWidth="1"/>
    <col min="12290" max="12290" width="48.7109375" style="191" customWidth="1"/>
    <col min="12291" max="12292" width="16.140625" style="191" customWidth="1"/>
    <col min="12293" max="12293" width="18.42578125" style="191" customWidth="1"/>
    <col min="12294" max="12294" width="16.85546875" style="191" customWidth="1"/>
    <col min="12295" max="12295" width="16.7109375" style="191" customWidth="1"/>
    <col min="12296" max="12297" width="13.85546875" style="191" customWidth="1"/>
    <col min="12298" max="12298" width="17.7109375" style="191" customWidth="1"/>
    <col min="12299" max="12299" width="16.42578125" style="191" customWidth="1"/>
    <col min="12300" max="12300" width="15.42578125" style="191" customWidth="1"/>
    <col min="12301" max="12301" width="14.7109375" style="191" customWidth="1"/>
    <col min="12302" max="12302" width="15.28515625" style="191" customWidth="1"/>
    <col min="12303" max="12305" width="14.7109375" style="191" customWidth="1"/>
    <col min="12306" max="12306" width="15.5703125" style="191" customWidth="1"/>
    <col min="12307" max="12307" width="18" style="191" customWidth="1"/>
    <col min="12308" max="12309" width="14.7109375" style="191" customWidth="1"/>
    <col min="12310" max="12311" width="15.85546875" style="191" customWidth="1"/>
    <col min="12312" max="12314" width="14.7109375" style="191" customWidth="1"/>
    <col min="12315" max="12315" width="15.85546875" style="191" customWidth="1"/>
    <col min="12316" max="12333" width="14.7109375" style="191" customWidth="1"/>
    <col min="12334" max="12345" width="0" style="191" hidden="1" customWidth="1"/>
    <col min="12346" max="12346" width="14.7109375" style="191" customWidth="1"/>
    <col min="12347" max="12544" width="9.140625" style="191"/>
    <col min="12545" max="12545" width="13.42578125" style="191" customWidth="1"/>
    <col min="12546" max="12546" width="48.7109375" style="191" customWidth="1"/>
    <col min="12547" max="12548" width="16.140625" style="191" customWidth="1"/>
    <col min="12549" max="12549" width="18.42578125" style="191" customWidth="1"/>
    <col min="12550" max="12550" width="16.85546875" style="191" customWidth="1"/>
    <col min="12551" max="12551" width="16.7109375" style="191" customWidth="1"/>
    <col min="12552" max="12553" width="13.85546875" style="191" customWidth="1"/>
    <col min="12554" max="12554" width="17.7109375" style="191" customWidth="1"/>
    <col min="12555" max="12555" width="16.42578125" style="191" customWidth="1"/>
    <col min="12556" max="12556" width="15.42578125" style="191" customWidth="1"/>
    <col min="12557" max="12557" width="14.7109375" style="191" customWidth="1"/>
    <col min="12558" max="12558" width="15.28515625" style="191" customWidth="1"/>
    <col min="12559" max="12561" width="14.7109375" style="191" customWidth="1"/>
    <col min="12562" max="12562" width="15.5703125" style="191" customWidth="1"/>
    <col min="12563" max="12563" width="18" style="191" customWidth="1"/>
    <col min="12564" max="12565" width="14.7109375" style="191" customWidth="1"/>
    <col min="12566" max="12567" width="15.85546875" style="191" customWidth="1"/>
    <col min="12568" max="12570" width="14.7109375" style="191" customWidth="1"/>
    <col min="12571" max="12571" width="15.85546875" style="191" customWidth="1"/>
    <col min="12572" max="12589" width="14.7109375" style="191" customWidth="1"/>
    <col min="12590" max="12601" width="0" style="191" hidden="1" customWidth="1"/>
    <col min="12602" max="12602" width="14.7109375" style="191" customWidth="1"/>
    <col min="12603" max="12800" width="9.140625" style="191"/>
    <col min="12801" max="12801" width="13.42578125" style="191" customWidth="1"/>
    <col min="12802" max="12802" width="48.7109375" style="191" customWidth="1"/>
    <col min="12803" max="12804" width="16.140625" style="191" customWidth="1"/>
    <col min="12805" max="12805" width="18.42578125" style="191" customWidth="1"/>
    <col min="12806" max="12806" width="16.85546875" style="191" customWidth="1"/>
    <col min="12807" max="12807" width="16.7109375" style="191" customWidth="1"/>
    <col min="12808" max="12809" width="13.85546875" style="191" customWidth="1"/>
    <col min="12810" max="12810" width="17.7109375" style="191" customWidth="1"/>
    <col min="12811" max="12811" width="16.42578125" style="191" customWidth="1"/>
    <col min="12812" max="12812" width="15.42578125" style="191" customWidth="1"/>
    <col min="12813" max="12813" width="14.7109375" style="191" customWidth="1"/>
    <col min="12814" max="12814" width="15.28515625" style="191" customWidth="1"/>
    <col min="12815" max="12817" width="14.7109375" style="191" customWidth="1"/>
    <col min="12818" max="12818" width="15.5703125" style="191" customWidth="1"/>
    <col min="12819" max="12819" width="18" style="191" customWidth="1"/>
    <col min="12820" max="12821" width="14.7109375" style="191" customWidth="1"/>
    <col min="12822" max="12823" width="15.85546875" style="191" customWidth="1"/>
    <col min="12824" max="12826" width="14.7109375" style="191" customWidth="1"/>
    <col min="12827" max="12827" width="15.85546875" style="191" customWidth="1"/>
    <col min="12828" max="12845" width="14.7109375" style="191" customWidth="1"/>
    <col min="12846" max="12857" width="0" style="191" hidden="1" customWidth="1"/>
    <col min="12858" max="12858" width="14.7109375" style="191" customWidth="1"/>
    <col min="12859" max="13056" width="9.140625" style="191"/>
    <col min="13057" max="13057" width="13.42578125" style="191" customWidth="1"/>
    <col min="13058" max="13058" width="48.7109375" style="191" customWidth="1"/>
    <col min="13059" max="13060" width="16.140625" style="191" customWidth="1"/>
    <col min="13061" max="13061" width="18.42578125" style="191" customWidth="1"/>
    <col min="13062" max="13062" width="16.85546875" style="191" customWidth="1"/>
    <col min="13063" max="13063" width="16.7109375" style="191" customWidth="1"/>
    <col min="13064" max="13065" width="13.85546875" style="191" customWidth="1"/>
    <col min="13066" max="13066" width="17.7109375" style="191" customWidth="1"/>
    <col min="13067" max="13067" width="16.42578125" style="191" customWidth="1"/>
    <col min="13068" max="13068" width="15.42578125" style="191" customWidth="1"/>
    <col min="13069" max="13069" width="14.7109375" style="191" customWidth="1"/>
    <col min="13070" max="13070" width="15.28515625" style="191" customWidth="1"/>
    <col min="13071" max="13073" width="14.7109375" style="191" customWidth="1"/>
    <col min="13074" max="13074" width="15.5703125" style="191" customWidth="1"/>
    <col min="13075" max="13075" width="18" style="191" customWidth="1"/>
    <col min="13076" max="13077" width="14.7109375" style="191" customWidth="1"/>
    <col min="13078" max="13079" width="15.85546875" style="191" customWidth="1"/>
    <col min="13080" max="13082" width="14.7109375" style="191" customWidth="1"/>
    <col min="13083" max="13083" width="15.85546875" style="191" customWidth="1"/>
    <col min="13084" max="13101" width="14.7109375" style="191" customWidth="1"/>
    <col min="13102" max="13113" width="0" style="191" hidden="1" customWidth="1"/>
    <col min="13114" max="13114" width="14.7109375" style="191" customWidth="1"/>
    <col min="13115" max="13312" width="9.140625" style="191"/>
    <col min="13313" max="13313" width="13.42578125" style="191" customWidth="1"/>
    <col min="13314" max="13314" width="48.7109375" style="191" customWidth="1"/>
    <col min="13315" max="13316" width="16.140625" style="191" customWidth="1"/>
    <col min="13317" max="13317" width="18.42578125" style="191" customWidth="1"/>
    <col min="13318" max="13318" width="16.85546875" style="191" customWidth="1"/>
    <col min="13319" max="13319" width="16.7109375" style="191" customWidth="1"/>
    <col min="13320" max="13321" width="13.85546875" style="191" customWidth="1"/>
    <col min="13322" max="13322" width="17.7109375" style="191" customWidth="1"/>
    <col min="13323" max="13323" width="16.42578125" style="191" customWidth="1"/>
    <col min="13324" max="13324" width="15.42578125" style="191" customWidth="1"/>
    <col min="13325" max="13325" width="14.7109375" style="191" customWidth="1"/>
    <col min="13326" max="13326" width="15.28515625" style="191" customWidth="1"/>
    <col min="13327" max="13329" width="14.7109375" style="191" customWidth="1"/>
    <col min="13330" max="13330" width="15.5703125" style="191" customWidth="1"/>
    <col min="13331" max="13331" width="18" style="191" customWidth="1"/>
    <col min="13332" max="13333" width="14.7109375" style="191" customWidth="1"/>
    <col min="13334" max="13335" width="15.85546875" style="191" customWidth="1"/>
    <col min="13336" max="13338" width="14.7109375" style="191" customWidth="1"/>
    <col min="13339" max="13339" width="15.85546875" style="191" customWidth="1"/>
    <col min="13340" max="13357" width="14.7109375" style="191" customWidth="1"/>
    <col min="13358" max="13369" width="0" style="191" hidden="1" customWidth="1"/>
    <col min="13370" max="13370" width="14.7109375" style="191" customWidth="1"/>
    <col min="13371" max="13568" width="9.140625" style="191"/>
    <col min="13569" max="13569" width="13.42578125" style="191" customWidth="1"/>
    <col min="13570" max="13570" width="48.7109375" style="191" customWidth="1"/>
    <col min="13571" max="13572" width="16.140625" style="191" customWidth="1"/>
    <col min="13573" max="13573" width="18.42578125" style="191" customWidth="1"/>
    <col min="13574" max="13574" width="16.85546875" style="191" customWidth="1"/>
    <col min="13575" max="13575" width="16.7109375" style="191" customWidth="1"/>
    <col min="13576" max="13577" width="13.85546875" style="191" customWidth="1"/>
    <col min="13578" max="13578" width="17.7109375" style="191" customWidth="1"/>
    <col min="13579" max="13579" width="16.42578125" style="191" customWidth="1"/>
    <col min="13580" max="13580" width="15.42578125" style="191" customWidth="1"/>
    <col min="13581" max="13581" width="14.7109375" style="191" customWidth="1"/>
    <col min="13582" max="13582" width="15.28515625" style="191" customWidth="1"/>
    <col min="13583" max="13585" width="14.7109375" style="191" customWidth="1"/>
    <col min="13586" max="13586" width="15.5703125" style="191" customWidth="1"/>
    <col min="13587" max="13587" width="18" style="191" customWidth="1"/>
    <col min="13588" max="13589" width="14.7109375" style="191" customWidth="1"/>
    <col min="13590" max="13591" width="15.85546875" style="191" customWidth="1"/>
    <col min="13592" max="13594" width="14.7109375" style="191" customWidth="1"/>
    <col min="13595" max="13595" width="15.85546875" style="191" customWidth="1"/>
    <col min="13596" max="13613" width="14.7109375" style="191" customWidth="1"/>
    <col min="13614" max="13625" width="0" style="191" hidden="1" customWidth="1"/>
    <col min="13626" max="13626" width="14.7109375" style="191" customWidth="1"/>
    <col min="13627" max="13824" width="9.140625" style="191"/>
    <col min="13825" max="13825" width="13.42578125" style="191" customWidth="1"/>
    <col min="13826" max="13826" width="48.7109375" style="191" customWidth="1"/>
    <col min="13827" max="13828" width="16.140625" style="191" customWidth="1"/>
    <col min="13829" max="13829" width="18.42578125" style="191" customWidth="1"/>
    <col min="13830" max="13830" width="16.85546875" style="191" customWidth="1"/>
    <col min="13831" max="13831" width="16.7109375" style="191" customWidth="1"/>
    <col min="13832" max="13833" width="13.85546875" style="191" customWidth="1"/>
    <col min="13834" max="13834" width="17.7109375" style="191" customWidth="1"/>
    <col min="13835" max="13835" width="16.42578125" style="191" customWidth="1"/>
    <col min="13836" max="13836" width="15.42578125" style="191" customWidth="1"/>
    <col min="13837" max="13837" width="14.7109375" style="191" customWidth="1"/>
    <col min="13838" max="13838" width="15.28515625" style="191" customWidth="1"/>
    <col min="13839" max="13841" width="14.7109375" style="191" customWidth="1"/>
    <col min="13842" max="13842" width="15.5703125" style="191" customWidth="1"/>
    <col min="13843" max="13843" width="18" style="191" customWidth="1"/>
    <col min="13844" max="13845" width="14.7109375" style="191" customWidth="1"/>
    <col min="13846" max="13847" width="15.85546875" style="191" customWidth="1"/>
    <col min="13848" max="13850" width="14.7109375" style="191" customWidth="1"/>
    <col min="13851" max="13851" width="15.85546875" style="191" customWidth="1"/>
    <col min="13852" max="13869" width="14.7109375" style="191" customWidth="1"/>
    <col min="13870" max="13881" width="0" style="191" hidden="1" customWidth="1"/>
    <col min="13882" max="13882" width="14.7109375" style="191" customWidth="1"/>
    <col min="13883" max="14080" width="9.140625" style="191"/>
    <col min="14081" max="14081" width="13.42578125" style="191" customWidth="1"/>
    <col min="14082" max="14082" width="48.7109375" style="191" customWidth="1"/>
    <col min="14083" max="14084" width="16.140625" style="191" customWidth="1"/>
    <col min="14085" max="14085" width="18.42578125" style="191" customWidth="1"/>
    <col min="14086" max="14086" width="16.85546875" style="191" customWidth="1"/>
    <col min="14087" max="14087" width="16.7109375" style="191" customWidth="1"/>
    <col min="14088" max="14089" width="13.85546875" style="191" customWidth="1"/>
    <col min="14090" max="14090" width="17.7109375" style="191" customWidth="1"/>
    <col min="14091" max="14091" width="16.42578125" style="191" customWidth="1"/>
    <col min="14092" max="14092" width="15.42578125" style="191" customWidth="1"/>
    <col min="14093" max="14093" width="14.7109375" style="191" customWidth="1"/>
    <col min="14094" max="14094" width="15.28515625" style="191" customWidth="1"/>
    <col min="14095" max="14097" width="14.7109375" style="191" customWidth="1"/>
    <col min="14098" max="14098" width="15.5703125" style="191" customWidth="1"/>
    <col min="14099" max="14099" width="18" style="191" customWidth="1"/>
    <col min="14100" max="14101" width="14.7109375" style="191" customWidth="1"/>
    <col min="14102" max="14103" width="15.85546875" style="191" customWidth="1"/>
    <col min="14104" max="14106" width="14.7109375" style="191" customWidth="1"/>
    <col min="14107" max="14107" width="15.85546875" style="191" customWidth="1"/>
    <col min="14108" max="14125" width="14.7109375" style="191" customWidth="1"/>
    <col min="14126" max="14137" width="0" style="191" hidden="1" customWidth="1"/>
    <col min="14138" max="14138" width="14.7109375" style="191" customWidth="1"/>
    <col min="14139" max="14336" width="9.140625" style="191"/>
    <col min="14337" max="14337" width="13.42578125" style="191" customWidth="1"/>
    <col min="14338" max="14338" width="48.7109375" style="191" customWidth="1"/>
    <col min="14339" max="14340" width="16.140625" style="191" customWidth="1"/>
    <col min="14341" max="14341" width="18.42578125" style="191" customWidth="1"/>
    <col min="14342" max="14342" width="16.85546875" style="191" customWidth="1"/>
    <col min="14343" max="14343" width="16.7109375" style="191" customWidth="1"/>
    <col min="14344" max="14345" width="13.85546875" style="191" customWidth="1"/>
    <col min="14346" max="14346" width="17.7109375" style="191" customWidth="1"/>
    <col min="14347" max="14347" width="16.42578125" style="191" customWidth="1"/>
    <col min="14348" max="14348" width="15.42578125" style="191" customWidth="1"/>
    <col min="14349" max="14349" width="14.7109375" style="191" customWidth="1"/>
    <col min="14350" max="14350" width="15.28515625" style="191" customWidth="1"/>
    <col min="14351" max="14353" width="14.7109375" style="191" customWidth="1"/>
    <col min="14354" max="14354" width="15.5703125" style="191" customWidth="1"/>
    <col min="14355" max="14355" width="18" style="191" customWidth="1"/>
    <col min="14356" max="14357" width="14.7109375" style="191" customWidth="1"/>
    <col min="14358" max="14359" width="15.85546875" style="191" customWidth="1"/>
    <col min="14360" max="14362" width="14.7109375" style="191" customWidth="1"/>
    <col min="14363" max="14363" width="15.85546875" style="191" customWidth="1"/>
    <col min="14364" max="14381" width="14.7109375" style="191" customWidth="1"/>
    <col min="14382" max="14393" width="0" style="191" hidden="1" customWidth="1"/>
    <col min="14394" max="14394" width="14.7109375" style="191" customWidth="1"/>
    <col min="14395" max="14592" width="9.140625" style="191"/>
    <col min="14593" max="14593" width="13.42578125" style="191" customWidth="1"/>
    <col min="14594" max="14594" width="48.7109375" style="191" customWidth="1"/>
    <col min="14595" max="14596" width="16.140625" style="191" customWidth="1"/>
    <col min="14597" max="14597" width="18.42578125" style="191" customWidth="1"/>
    <col min="14598" max="14598" width="16.85546875" style="191" customWidth="1"/>
    <col min="14599" max="14599" width="16.7109375" style="191" customWidth="1"/>
    <col min="14600" max="14601" width="13.85546875" style="191" customWidth="1"/>
    <col min="14602" max="14602" width="17.7109375" style="191" customWidth="1"/>
    <col min="14603" max="14603" width="16.42578125" style="191" customWidth="1"/>
    <col min="14604" max="14604" width="15.42578125" style="191" customWidth="1"/>
    <col min="14605" max="14605" width="14.7109375" style="191" customWidth="1"/>
    <col min="14606" max="14606" width="15.28515625" style="191" customWidth="1"/>
    <col min="14607" max="14609" width="14.7109375" style="191" customWidth="1"/>
    <col min="14610" max="14610" width="15.5703125" style="191" customWidth="1"/>
    <col min="14611" max="14611" width="18" style="191" customWidth="1"/>
    <col min="14612" max="14613" width="14.7109375" style="191" customWidth="1"/>
    <col min="14614" max="14615" width="15.85546875" style="191" customWidth="1"/>
    <col min="14616" max="14618" width="14.7109375" style="191" customWidth="1"/>
    <col min="14619" max="14619" width="15.85546875" style="191" customWidth="1"/>
    <col min="14620" max="14637" width="14.7109375" style="191" customWidth="1"/>
    <col min="14638" max="14649" width="0" style="191" hidden="1" customWidth="1"/>
    <col min="14650" max="14650" width="14.7109375" style="191" customWidth="1"/>
    <col min="14651" max="14848" width="9.140625" style="191"/>
    <col min="14849" max="14849" width="13.42578125" style="191" customWidth="1"/>
    <col min="14850" max="14850" width="48.7109375" style="191" customWidth="1"/>
    <col min="14851" max="14852" width="16.140625" style="191" customWidth="1"/>
    <col min="14853" max="14853" width="18.42578125" style="191" customWidth="1"/>
    <col min="14854" max="14854" width="16.85546875" style="191" customWidth="1"/>
    <col min="14855" max="14855" width="16.7109375" style="191" customWidth="1"/>
    <col min="14856" max="14857" width="13.85546875" style="191" customWidth="1"/>
    <col min="14858" max="14858" width="17.7109375" style="191" customWidth="1"/>
    <col min="14859" max="14859" width="16.42578125" style="191" customWidth="1"/>
    <col min="14860" max="14860" width="15.42578125" style="191" customWidth="1"/>
    <col min="14861" max="14861" width="14.7109375" style="191" customWidth="1"/>
    <col min="14862" max="14862" width="15.28515625" style="191" customWidth="1"/>
    <col min="14863" max="14865" width="14.7109375" style="191" customWidth="1"/>
    <col min="14866" max="14866" width="15.5703125" style="191" customWidth="1"/>
    <col min="14867" max="14867" width="18" style="191" customWidth="1"/>
    <col min="14868" max="14869" width="14.7109375" style="191" customWidth="1"/>
    <col min="14870" max="14871" width="15.85546875" style="191" customWidth="1"/>
    <col min="14872" max="14874" width="14.7109375" style="191" customWidth="1"/>
    <col min="14875" max="14875" width="15.85546875" style="191" customWidth="1"/>
    <col min="14876" max="14893" width="14.7109375" style="191" customWidth="1"/>
    <col min="14894" max="14905" width="0" style="191" hidden="1" customWidth="1"/>
    <col min="14906" max="14906" width="14.7109375" style="191" customWidth="1"/>
    <col min="14907" max="15104" width="9.140625" style="191"/>
    <col min="15105" max="15105" width="13.42578125" style="191" customWidth="1"/>
    <col min="15106" max="15106" width="48.7109375" style="191" customWidth="1"/>
    <col min="15107" max="15108" width="16.140625" style="191" customWidth="1"/>
    <col min="15109" max="15109" width="18.42578125" style="191" customWidth="1"/>
    <col min="15110" max="15110" width="16.85546875" style="191" customWidth="1"/>
    <col min="15111" max="15111" width="16.7109375" style="191" customWidth="1"/>
    <col min="15112" max="15113" width="13.85546875" style="191" customWidth="1"/>
    <col min="15114" max="15114" width="17.7109375" style="191" customWidth="1"/>
    <col min="15115" max="15115" width="16.42578125" style="191" customWidth="1"/>
    <col min="15116" max="15116" width="15.42578125" style="191" customWidth="1"/>
    <col min="15117" max="15117" width="14.7109375" style="191" customWidth="1"/>
    <col min="15118" max="15118" width="15.28515625" style="191" customWidth="1"/>
    <col min="15119" max="15121" width="14.7109375" style="191" customWidth="1"/>
    <col min="15122" max="15122" width="15.5703125" style="191" customWidth="1"/>
    <col min="15123" max="15123" width="18" style="191" customWidth="1"/>
    <col min="15124" max="15125" width="14.7109375" style="191" customWidth="1"/>
    <col min="15126" max="15127" width="15.85546875" style="191" customWidth="1"/>
    <col min="15128" max="15130" width="14.7109375" style="191" customWidth="1"/>
    <col min="15131" max="15131" width="15.85546875" style="191" customWidth="1"/>
    <col min="15132" max="15149" width="14.7109375" style="191" customWidth="1"/>
    <col min="15150" max="15161" width="0" style="191" hidden="1" customWidth="1"/>
    <col min="15162" max="15162" width="14.7109375" style="191" customWidth="1"/>
    <col min="15163" max="15360" width="9.140625" style="191"/>
    <col min="15361" max="15361" width="13.42578125" style="191" customWidth="1"/>
    <col min="15362" max="15362" width="48.7109375" style="191" customWidth="1"/>
    <col min="15363" max="15364" width="16.140625" style="191" customWidth="1"/>
    <col min="15365" max="15365" width="18.42578125" style="191" customWidth="1"/>
    <col min="15366" max="15366" width="16.85546875" style="191" customWidth="1"/>
    <col min="15367" max="15367" width="16.7109375" style="191" customWidth="1"/>
    <col min="15368" max="15369" width="13.85546875" style="191" customWidth="1"/>
    <col min="15370" max="15370" width="17.7109375" style="191" customWidth="1"/>
    <col min="15371" max="15371" width="16.42578125" style="191" customWidth="1"/>
    <col min="15372" max="15372" width="15.42578125" style="191" customWidth="1"/>
    <col min="15373" max="15373" width="14.7109375" style="191" customWidth="1"/>
    <col min="15374" max="15374" width="15.28515625" style="191" customWidth="1"/>
    <col min="15375" max="15377" width="14.7109375" style="191" customWidth="1"/>
    <col min="15378" max="15378" width="15.5703125" style="191" customWidth="1"/>
    <col min="15379" max="15379" width="18" style="191" customWidth="1"/>
    <col min="15380" max="15381" width="14.7109375" style="191" customWidth="1"/>
    <col min="15382" max="15383" width="15.85546875" style="191" customWidth="1"/>
    <col min="15384" max="15386" width="14.7109375" style="191" customWidth="1"/>
    <col min="15387" max="15387" width="15.85546875" style="191" customWidth="1"/>
    <col min="15388" max="15405" width="14.7109375" style="191" customWidth="1"/>
    <col min="15406" max="15417" width="0" style="191" hidden="1" customWidth="1"/>
    <col min="15418" max="15418" width="14.7109375" style="191" customWidth="1"/>
    <col min="15419" max="15616" width="9.140625" style="191"/>
    <col min="15617" max="15617" width="13.42578125" style="191" customWidth="1"/>
    <col min="15618" max="15618" width="48.7109375" style="191" customWidth="1"/>
    <col min="15619" max="15620" width="16.140625" style="191" customWidth="1"/>
    <col min="15621" max="15621" width="18.42578125" style="191" customWidth="1"/>
    <col min="15622" max="15622" width="16.85546875" style="191" customWidth="1"/>
    <col min="15623" max="15623" width="16.7109375" style="191" customWidth="1"/>
    <col min="15624" max="15625" width="13.85546875" style="191" customWidth="1"/>
    <col min="15626" max="15626" width="17.7109375" style="191" customWidth="1"/>
    <col min="15627" max="15627" width="16.42578125" style="191" customWidth="1"/>
    <col min="15628" max="15628" width="15.42578125" style="191" customWidth="1"/>
    <col min="15629" max="15629" width="14.7109375" style="191" customWidth="1"/>
    <col min="15630" max="15630" width="15.28515625" style="191" customWidth="1"/>
    <col min="15631" max="15633" width="14.7109375" style="191" customWidth="1"/>
    <col min="15634" max="15634" width="15.5703125" style="191" customWidth="1"/>
    <col min="15635" max="15635" width="18" style="191" customWidth="1"/>
    <col min="15636" max="15637" width="14.7109375" style="191" customWidth="1"/>
    <col min="15638" max="15639" width="15.85546875" style="191" customWidth="1"/>
    <col min="15640" max="15642" width="14.7109375" style="191" customWidth="1"/>
    <col min="15643" max="15643" width="15.85546875" style="191" customWidth="1"/>
    <col min="15644" max="15661" width="14.7109375" style="191" customWidth="1"/>
    <col min="15662" max="15673" width="0" style="191" hidden="1" customWidth="1"/>
    <col min="15674" max="15674" width="14.7109375" style="191" customWidth="1"/>
    <col min="15675" max="15872" width="9.140625" style="191"/>
    <col min="15873" max="15873" width="13.42578125" style="191" customWidth="1"/>
    <col min="15874" max="15874" width="48.7109375" style="191" customWidth="1"/>
    <col min="15875" max="15876" width="16.140625" style="191" customWidth="1"/>
    <col min="15877" max="15877" width="18.42578125" style="191" customWidth="1"/>
    <col min="15878" max="15878" width="16.85546875" style="191" customWidth="1"/>
    <col min="15879" max="15879" width="16.7109375" style="191" customWidth="1"/>
    <col min="15880" max="15881" width="13.85546875" style="191" customWidth="1"/>
    <col min="15882" max="15882" width="17.7109375" style="191" customWidth="1"/>
    <col min="15883" max="15883" width="16.42578125" style="191" customWidth="1"/>
    <col min="15884" max="15884" width="15.42578125" style="191" customWidth="1"/>
    <col min="15885" max="15885" width="14.7109375" style="191" customWidth="1"/>
    <col min="15886" max="15886" width="15.28515625" style="191" customWidth="1"/>
    <col min="15887" max="15889" width="14.7109375" style="191" customWidth="1"/>
    <col min="15890" max="15890" width="15.5703125" style="191" customWidth="1"/>
    <col min="15891" max="15891" width="18" style="191" customWidth="1"/>
    <col min="15892" max="15893" width="14.7109375" style="191" customWidth="1"/>
    <col min="15894" max="15895" width="15.85546875" style="191" customWidth="1"/>
    <col min="15896" max="15898" width="14.7109375" style="191" customWidth="1"/>
    <col min="15899" max="15899" width="15.85546875" style="191" customWidth="1"/>
    <col min="15900" max="15917" width="14.7109375" style="191" customWidth="1"/>
    <col min="15918" max="15929" width="0" style="191" hidden="1" customWidth="1"/>
    <col min="15930" max="15930" width="14.7109375" style="191" customWidth="1"/>
    <col min="15931" max="16128" width="9.140625" style="191"/>
    <col min="16129" max="16129" width="13.42578125" style="191" customWidth="1"/>
    <col min="16130" max="16130" width="48.7109375" style="191" customWidth="1"/>
    <col min="16131" max="16132" width="16.140625" style="191" customWidth="1"/>
    <col min="16133" max="16133" width="18.42578125" style="191" customWidth="1"/>
    <col min="16134" max="16134" width="16.85546875" style="191" customWidth="1"/>
    <col min="16135" max="16135" width="16.7109375" style="191" customWidth="1"/>
    <col min="16136" max="16137" width="13.85546875" style="191" customWidth="1"/>
    <col min="16138" max="16138" width="17.7109375" style="191" customWidth="1"/>
    <col min="16139" max="16139" width="16.42578125" style="191" customWidth="1"/>
    <col min="16140" max="16140" width="15.42578125" style="191" customWidth="1"/>
    <col min="16141" max="16141" width="14.7109375" style="191" customWidth="1"/>
    <col min="16142" max="16142" width="15.28515625" style="191" customWidth="1"/>
    <col min="16143" max="16145" width="14.7109375" style="191" customWidth="1"/>
    <col min="16146" max="16146" width="15.5703125" style="191" customWidth="1"/>
    <col min="16147" max="16147" width="18" style="191" customWidth="1"/>
    <col min="16148" max="16149" width="14.7109375" style="191" customWidth="1"/>
    <col min="16150" max="16151" width="15.85546875" style="191" customWidth="1"/>
    <col min="16152" max="16154" width="14.7109375" style="191" customWidth="1"/>
    <col min="16155" max="16155" width="15.85546875" style="191" customWidth="1"/>
    <col min="16156" max="16173" width="14.7109375" style="191" customWidth="1"/>
    <col min="16174" max="16185" width="0" style="191" hidden="1" customWidth="1"/>
    <col min="16186" max="16186" width="14.7109375" style="191" customWidth="1"/>
    <col min="16187" max="16384" width="9.140625" style="191"/>
  </cols>
  <sheetData>
    <row r="1" spans="1:58" ht="45" customHeight="1" x14ac:dyDescent="0.25">
      <c r="A1" s="263" t="s">
        <v>0</v>
      </c>
      <c r="B1" s="264" t="s">
        <v>329</v>
      </c>
      <c r="C1" s="264" t="s">
        <v>325</v>
      </c>
      <c r="D1" s="264" t="s">
        <v>326</v>
      </c>
      <c r="E1" s="261" t="s">
        <v>330</v>
      </c>
      <c r="F1" s="265" t="s">
        <v>331</v>
      </c>
      <c r="G1" s="266"/>
      <c r="H1" s="266"/>
      <c r="I1" s="267"/>
      <c r="J1" s="187"/>
      <c r="K1" s="188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  <c r="AA1" s="189"/>
      <c r="AB1" s="190"/>
      <c r="AC1" s="190"/>
      <c r="AD1" s="189"/>
      <c r="AE1" s="189"/>
      <c r="AF1" s="190"/>
      <c r="AG1" s="190"/>
      <c r="AH1" s="189"/>
      <c r="AI1" s="189"/>
      <c r="AJ1" s="189"/>
      <c r="AK1" s="189"/>
      <c r="AL1" s="189"/>
      <c r="AM1" s="189"/>
      <c r="AN1" s="189"/>
      <c r="AO1" s="189"/>
      <c r="AP1" s="189"/>
      <c r="AQ1" s="189"/>
      <c r="AR1" s="189"/>
      <c r="AS1" s="189"/>
      <c r="AT1" s="189"/>
      <c r="AU1" s="189"/>
      <c r="AV1" s="189"/>
      <c r="AW1" s="189"/>
      <c r="AX1" s="189"/>
      <c r="AY1" s="189"/>
      <c r="AZ1" s="189"/>
      <c r="BA1" s="189"/>
      <c r="BB1" s="189"/>
      <c r="BC1" s="189"/>
      <c r="BD1" s="189"/>
      <c r="BE1" s="189"/>
      <c r="BF1" s="261" t="s">
        <v>327</v>
      </c>
    </row>
    <row r="2" spans="1:58" ht="66" customHeight="1" x14ac:dyDescent="0.25">
      <c r="A2" s="263"/>
      <c r="B2" s="264"/>
      <c r="C2" s="264"/>
      <c r="D2" s="264"/>
      <c r="E2" s="271"/>
      <c r="F2" s="268"/>
      <c r="G2" s="269"/>
      <c r="H2" s="269"/>
      <c r="I2" s="270"/>
      <c r="J2" s="258" t="s">
        <v>332</v>
      </c>
      <c r="K2" s="259"/>
      <c r="L2" s="259"/>
      <c r="M2" s="260"/>
      <c r="N2" s="258" t="s">
        <v>333</v>
      </c>
      <c r="O2" s="259"/>
      <c r="P2" s="259"/>
      <c r="Q2" s="260"/>
      <c r="R2" s="258" t="s">
        <v>334</v>
      </c>
      <c r="S2" s="259"/>
      <c r="T2" s="259"/>
      <c r="U2" s="260"/>
      <c r="V2" s="258" t="s">
        <v>335</v>
      </c>
      <c r="W2" s="259"/>
      <c r="X2" s="259"/>
      <c r="Y2" s="260"/>
      <c r="Z2" s="258" t="s">
        <v>336</v>
      </c>
      <c r="AA2" s="259"/>
      <c r="AB2" s="259"/>
      <c r="AC2" s="260"/>
      <c r="AD2" s="258" t="s">
        <v>476</v>
      </c>
      <c r="AE2" s="259"/>
      <c r="AF2" s="259"/>
      <c r="AG2" s="260"/>
      <c r="AH2" s="258" t="s">
        <v>477</v>
      </c>
      <c r="AI2" s="259"/>
      <c r="AJ2" s="259"/>
      <c r="AK2" s="260"/>
      <c r="AL2" s="258" t="s">
        <v>337</v>
      </c>
      <c r="AM2" s="259"/>
      <c r="AN2" s="259"/>
      <c r="AO2" s="260"/>
      <c r="AP2" s="258" t="s">
        <v>338</v>
      </c>
      <c r="AQ2" s="259"/>
      <c r="AR2" s="259"/>
      <c r="AS2" s="260"/>
      <c r="AT2" s="258" t="s">
        <v>339</v>
      </c>
      <c r="AU2" s="259"/>
      <c r="AV2" s="259"/>
      <c r="AW2" s="260"/>
      <c r="AX2" s="258" t="s">
        <v>340</v>
      </c>
      <c r="AY2" s="259"/>
      <c r="AZ2" s="259"/>
      <c r="BA2" s="260"/>
      <c r="BB2" s="258" t="s">
        <v>341</v>
      </c>
      <c r="BC2" s="259"/>
      <c r="BD2" s="259"/>
      <c r="BE2" s="260"/>
      <c r="BF2" s="262"/>
    </row>
    <row r="3" spans="1:58" ht="43.5" customHeight="1" x14ac:dyDescent="0.25">
      <c r="A3" s="263"/>
      <c r="B3" s="264"/>
      <c r="C3" s="264"/>
      <c r="D3" s="264"/>
      <c r="E3" s="262"/>
      <c r="F3" s="192" t="s">
        <v>342</v>
      </c>
      <c r="G3" s="192" t="s">
        <v>343</v>
      </c>
      <c r="H3" s="192" t="s">
        <v>328</v>
      </c>
      <c r="I3" s="192" t="s">
        <v>344</v>
      </c>
      <c r="J3" s="192" t="s">
        <v>342</v>
      </c>
      <c r="K3" s="192" t="s">
        <v>343</v>
      </c>
      <c r="L3" s="192" t="s">
        <v>328</v>
      </c>
      <c r="M3" s="192" t="s">
        <v>344</v>
      </c>
      <c r="N3" s="192" t="s">
        <v>342</v>
      </c>
      <c r="O3" s="192" t="s">
        <v>343</v>
      </c>
      <c r="P3" s="192" t="s">
        <v>328</v>
      </c>
      <c r="Q3" s="192" t="s">
        <v>344</v>
      </c>
      <c r="R3" s="192" t="s">
        <v>342</v>
      </c>
      <c r="S3" s="192" t="s">
        <v>343</v>
      </c>
      <c r="T3" s="192" t="s">
        <v>328</v>
      </c>
      <c r="U3" s="192" t="s">
        <v>344</v>
      </c>
      <c r="V3" s="192" t="s">
        <v>342</v>
      </c>
      <c r="W3" s="192" t="s">
        <v>343</v>
      </c>
      <c r="X3" s="192" t="s">
        <v>328</v>
      </c>
      <c r="Y3" s="192" t="s">
        <v>344</v>
      </c>
      <c r="Z3" s="192" t="s">
        <v>342</v>
      </c>
      <c r="AA3" s="192" t="s">
        <v>343</v>
      </c>
      <c r="AB3" s="192" t="s">
        <v>328</v>
      </c>
      <c r="AC3" s="192" t="s">
        <v>344</v>
      </c>
      <c r="AD3" s="192" t="s">
        <v>342</v>
      </c>
      <c r="AE3" s="192" t="s">
        <v>343</v>
      </c>
      <c r="AF3" s="192" t="s">
        <v>328</v>
      </c>
      <c r="AG3" s="192" t="s">
        <v>344</v>
      </c>
      <c r="AH3" s="192" t="s">
        <v>342</v>
      </c>
      <c r="AI3" s="192" t="s">
        <v>343</v>
      </c>
      <c r="AJ3" s="192" t="s">
        <v>328</v>
      </c>
      <c r="AK3" s="192" t="s">
        <v>344</v>
      </c>
      <c r="AL3" s="192" t="s">
        <v>342</v>
      </c>
      <c r="AM3" s="192" t="s">
        <v>343</v>
      </c>
      <c r="AN3" s="192" t="s">
        <v>328</v>
      </c>
      <c r="AO3" s="192" t="s">
        <v>344</v>
      </c>
      <c r="AP3" s="192" t="s">
        <v>342</v>
      </c>
      <c r="AQ3" s="192" t="s">
        <v>343</v>
      </c>
      <c r="AR3" s="192" t="s">
        <v>328</v>
      </c>
      <c r="AS3" s="192" t="s">
        <v>344</v>
      </c>
      <c r="AT3" s="192" t="s">
        <v>342</v>
      </c>
      <c r="AU3" s="192" t="s">
        <v>343</v>
      </c>
      <c r="AV3" s="192" t="s">
        <v>328</v>
      </c>
      <c r="AW3" s="192" t="s">
        <v>344</v>
      </c>
      <c r="AX3" s="192" t="s">
        <v>342</v>
      </c>
      <c r="AY3" s="192" t="s">
        <v>343</v>
      </c>
      <c r="AZ3" s="192" t="s">
        <v>328</v>
      </c>
      <c r="BA3" s="192" t="s">
        <v>344</v>
      </c>
      <c r="BB3" s="192" t="s">
        <v>342</v>
      </c>
      <c r="BC3" s="192" t="s">
        <v>343</v>
      </c>
      <c r="BD3" s="192" t="s">
        <v>328</v>
      </c>
      <c r="BE3" s="192" t="s">
        <v>344</v>
      </c>
      <c r="BF3" s="193"/>
    </row>
    <row r="4" spans="1:58" s="200" customFormat="1" ht="42" customHeight="1" x14ac:dyDescent="0.2">
      <c r="A4" s="194" t="s">
        <v>345</v>
      </c>
      <c r="B4" s="195" t="s">
        <v>50</v>
      </c>
      <c r="C4" s="196">
        <v>8000000</v>
      </c>
      <c r="D4" s="196">
        <v>8000000</v>
      </c>
      <c r="E4" s="197">
        <f>SUM(E5:E5)</f>
        <v>8000000</v>
      </c>
      <c r="F4" s="197">
        <f>SUM(F5:F5)</f>
        <v>7283435.1400000006</v>
      </c>
      <c r="G4" s="197">
        <f t="shared" ref="G4:AS4" si="0">SUM(G5:G5)</f>
        <v>6895466.4900000002</v>
      </c>
      <c r="H4" s="197">
        <f t="shared" si="0"/>
        <v>6064</v>
      </c>
      <c r="I4" s="197">
        <f t="shared" si="0"/>
        <v>6095</v>
      </c>
      <c r="J4" s="197">
        <f t="shared" si="0"/>
        <v>707905.18</v>
      </c>
      <c r="K4" s="197">
        <f t="shared" si="0"/>
        <v>557676.68999999994</v>
      </c>
      <c r="L4" s="197">
        <f t="shared" si="0"/>
        <v>1315</v>
      </c>
      <c r="M4" s="197">
        <f t="shared" si="0"/>
        <v>1322</v>
      </c>
      <c r="N4" s="197">
        <f t="shared" si="0"/>
        <v>707023.90999999992</v>
      </c>
      <c r="O4" s="197">
        <f t="shared" si="0"/>
        <v>808192.1</v>
      </c>
      <c r="P4" s="197">
        <f t="shared" si="0"/>
        <v>1389</v>
      </c>
      <c r="Q4" s="197">
        <f t="shared" si="0"/>
        <v>1397</v>
      </c>
      <c r="R4" s="197">
        <f t="shared" si="0"/>
        <v>868037.01</v>
      </c>
      <c r="S4" s="197">
        <f t="shared" si="0"/>
        <v>433422.88</v>
      </c>
      <c r="T4" s="197">
        <f t="shared" si="0"/>
        <v>1788</v>
      </c>
      <c r="U4" s="197">
        <f t="shared" si="0"/>
        <v>1796</v>
      </c>
      <c r="V4" s="197">
        <f t="shared" si="0"/>
        <v>800815.5</v>
      </c>
      <c r="W4" s="197">
        <f t="shared" si="0"/>
        <v>1284489.93</v>
      </c>
      <c r="X4" s="197">
        <f t="shared" si="0"/>
        <v>1572</v>
      </c>
      <c r="Y4" s="197">
        <f t="shared" si="0"/>
        <v>1580</v>
      </c>
      <c r="Z4" s="197">
        <f t="shared" si="0"/>
        <v>701054.66</v>
      </c>
      <c r="AA4" s="197">
        <f t="shared" si="0"/>
        <v>693808.21</v>
      </c>
      <c r="AB4" s="197">
        <f t="shared" si="0"/>
        <v>1435</v>
      </c>
      <c r="AC4" s="197">
        <f t="shared" si="0"/>
        <v>1448</v>
      </c>
      <c r="AD4" s="197">
        <f t="shared" si="0"/>
        <v>830983.86</v>
      </c>
      <c r="AE4" s="197">
        <f t="shared" si="0"/>
        <v>790919.15</v>
      </c>
      <c r="AF4" s="197">
        <f t="shared" si="0"/>
        <v>1449</v>
      </c>
      <c r="AG4" s="197">
        <f t="shared" si="0"/>
        <v>1455</v>
      </c>
      <c r="AH4" s="197">
        <f t="shared" si="0"/>
        <v>839049.49999999988</v>
      </c>
      <c r="AI4" s="197">
        <f t="shared" si="0"/>
        <v>814758.28</v>
      </c>
      <c r="AJ4" s="197">
        <f t="shared" si="0"/>
        <v>1585</v>
      </c>
      <c r="AK4" s="197">
        <f t="shared" si="0"/>
        <v>1599</v>
      </c>
      <c r="AL4" s="197">
        <f t="shared" si="0"/>
        <v>866610.81000000017</v>
      </c>
      <c r="AM4" s="197">
        <f t="shared" si="0"/>
        <v>932860.36</v>
      </c>
      <c r="AN4" s="197">
        <f t="shared" si="0"/>
        <v>1815</v>
      </c>
      <c r="AO4" s="197">
        <f t="shared" si="0"/>
        <v>1825</v>
      </c>
      <c r="AP4" s="197">
        <f t="shared" si="0"/>
        <v>961954.71</v>
      </c>
      <c r="AQ4" s="197">
        <f t="shared" si="0"/>
        <v>579338.89</v>
      </c>
      <c r="AR4" s="197">
        <f t="shared" si="0"/>
        <v>2155</v>
      </c>
      <c r="AS4" s="197">
        <f t="shared" si="0"/>
        <v>2164</v>
      </c>
      <c r="AT4" s="197">
        <f>AT5</f>
        <v>0</v>
      </c>
      <c r="AU4" s="197">
        <f>AU5</f>
        <v>0</v>
      </c>
      <c r="AV4" s="198">
        <f>SUM(AV5:AV5)</f>
        <v>0</v>
      </c>
      <c r="AW4" s="198">
        <f>SUM(AW5:AW5)</f>
        <v>0</v>
      </c>
      <c r="AX4" s="197">
        <f>AX5</f>
        <v>0</v>
      </c>
      <c r="AY4" s="197">
        <f>AY5</f>
        <v>0</v>
      </c>
      <c r="AZ4" s="198">
        <f>SUM(AZ5:AZ5)</f>
        <v>0</v>
      </c>
      <c r="BA4" s="198">
        <f>SUM(BA5:BA5)</f>
        <v>0</v>
      </c>
      <c r="BB4" s="197">
        <f>BB5</f>
        <v>0</v>
      </c>
      <c r="BC4" s="197">
        <f>BC5</f>
        <v>0</v>
      </c>
      <c r="BD4" s="198">
        <f>SUM(BD5:BD5)</f>
        <v>0</v>
      </c>
      <c r="BE4" s="198">
        <f>SUM(BE5:BE5)</f>
        <v>0</v>
      </c>
      <c r="BF4" s="199"/>
    </row>
    <row r="5" spans="1:58" s="200" customFormat="1" ht="42" customHeight="1" x14ac:dyDescent="0.2">
      <c r="A5" s="201"/>
      <c r="B5" s="61" t="s">
        <v>50</v>
      </c>
      <c r="C5" s="59"/>
      <c r="D5" s="59"/>
      <c r="E5" s="59">
        <v>8000000</v>
      </c>
      <c r="F5" s="59">
        <f>J5+N5+R5+V5+Z5+AD5+AH5+AL5+AP5+AT5+AX5+BB5</f>
        <v>7283435.1400000006</v>
      </c>
      <c r="G5" s="59">
        <f>K5+O5+S5+W5+AA5+AE5+AI5+AM5+AQ5+AU5+AY5+BC5</f>
        <v>6895466.4900000002</v>
      </c>
      <c r="H5" s="202">
        <f>L5+P5+T5+X5</f>
        <v>6064</v>
      </c>
      <c r="I5" s="202">
        <f>M5+Q5+U5+Y5</f>
        <v>6095</v>
      </c>
      <c r="J5" s="59">
        <v>707905.18</v>
      </c>
      <c r="K5" s="59">
        <v>557676.68999999994</v>
      </c>
      <c r="L5" s="202">
        <v>1315</v>
      </c>
      <c r="M5" s="202">
        <v>1322</v>
      </c>
      <c r="N5" s="59">
        <v>707023.90999999992</v>
      </c>
      <c r="O5" s="59">
        <v>808192.1</v>
      </c>
      <c r="P5" s="202">
        <v>1389</v>
      </c>
      <c r="Q5" s="202">
        <v>1397</v>
      </c>
      <c r="R5" s="59">
        <v>868037.01</v>
      </c>
      <c r="S5" s="59">
        <v>433422.88</v>
      </c>
      <c r="T5" s="202">
        <v>1788</v>
      </c>
      <c r="U5" s="202">
        <v>1796</v>
      </c>
      <c r="V5" s="59">
        <v>800815.5</v>
      </c>
      <c r="W5" s="59">
        <v>1284489.93</v>
      </c>
      <c r="X5" s="202">
        <v>1572</v>
      </c>
      <c r="Y5" s="202">
        <v>1580</v>
      </c>
      <c r="Z5" s="65">
        <v>701054.66</v>
      </c>
      <c r="AA5" s="65">
        <v>693808.21</v>
      </c>
      <c r="AB5" s="202">
        <v>1435</v>
      </c>
      <c r="AC5" s="202">
        <v>1448</v>
      </c>
      <c r="AD5" s="65">
        <v>830983.86</v>
      </c>
      <c r="AE5" s="65">
        <v>790919.15</v>
      </c>
      <c r="AF5" s="202">
        <v>1449</v>
      </c>
      <c r="AG5" s="202">
        <v>1455</v>
      </c>
      <c r="AH5" s="59">
        <v>839049.49999999988</v>
      </c>
      <c r="AI5" s="65">
        <v>814758.28</v>
      </c>
      <c r="AJ5" s="202">
        <v>1585</v>
      </c>
      <c r="AK5" s="202">
        <v>1599</v>
      </c>
      <c r="AL5" s="59">
        <v>866610.81000000017</v>
      </c>
      <c r="AM5" s="59">
        <v>932860.36</v>
      </c>
      <c r="AN5" s="202">
        <v>1815</v>
      </c>
      <c r="AO5" s="202">
        <v>1825</v>
      </c>
      <c r="AP5" s="59">
        <v>961954.71</v>
      </c>
      <c r="AQ5" s="59">
        <v>579338.89</v>
      </c>
      <c r="AR5" s="202">
        <v>2155</v>
      </c>
      <c r="AS5" s="202">
        <v>2164</v>
      </c>
      <c r="AT5" s="59"/>
      <c r="AU5" s="59"/>
      <c r="AV5" s="202"/>
      <c r="AW5" s="202"/>
      <c r="AX5" s="59"/>
      <c r="AY5" s="59"/>
      <c r="AZ5" s="202"/>
      <c r="BA5" s="202"/>
      <c r="BB5" s="59"/>
      <c r="BC5" s="59"/>
      <c r="BD5" s="202"/>
      <c r="BE5" s="202"/>
      <c r="BF5" s="199"/>
    </row>
    <row r="6" spans="1:58" s="200" customFormat="1" ht="42" customHeight="1" x14ac:dyDescent="0.2">
      <c r="A6" s="194" t="s">
        <v>346</v>
      </c>
      <c r="B6" s="195" t="s">
        <v>60</v>
      </c>
      <c r="C6" s="196">
        <v>11764000</v>
      </c>
      <c r="D6" s="196">
        <v>11764000</v>
      </c>
      <c r="E6" s="203">
        <f>SUM(E7:E9)</f>
        <v>11764000</v>
      </c>
      <c r="F6" s="203">
        <f>SUM(F7:F9)</f>
        <v>9309858.370000001</v>
      </c>
      <c r="G6" s="203">
        <f t="shared" ref="G6:BE6" si="1">SUM(G7:G9)</f>
        <v>9309858.0500000007</v>
      </c>
      <c r="H6" s="203">
        <f t="shared" si="1"/>
        <v>16171</v>
      </c>
      <c r="I6" s="203">
        <f t="shared" si="1"/>
        <v>87027</v>
      </c>
      <c r="J6" s="203">
        <f t="shared" si="1"/>
        <v>1193778.68</v>
      </c>
      <c r="K6" s="203">
        <f t="shared" si="1"/>
        <v>1109550.8500000001</v>
      </c>
      <c r="L6" s="203">
        <f t="shared" si="1"/>
        <v>3465</v>
      </c>
      <c r="M6" s="203">
        <f t="shared" si="1"/>
        <v>11205</v>
      </c>
      <c r="N6" s="203">
        <f t="shared" si="1"/>
        <v>959490.45000000007</v>
      </c>
      <c r="O6" s="203">
        <f t="shared" si="1"/>
        <v>1019725.1</v>
      </c>
      <c r="P6" s="203">
        <f t="shared" si="1"/>
        <v>3904</v>
      </c>
      <c r="Q6" s="203">
        <f t="shared" si="1"/>
        <v>12078</v>
      </c>
      <c r="R6" s="203">
        <f t="shared" si="1"/>
        <v>1025003.13</v>
      </c>
      <c r="S6" s="203">
        <f t="shared" si="1"/>
        <v>370721.76</v>
      </c>
      <c r="T6" s="203">
        <f t="shared" si="1"/>
        <v>4694</v>
      </c>
      <c r="U6" s="203">
        <f t="shared" si="1"/>
        <v>11510</v>
      </c>
      <c r="V6" s="203">
        <f t="shared" si="1"/>
        <v>1080915.3599999999</v>
      </c>
      <c r="W6" s="203">
        <f t="shared" si="1"/>
        <v>1736595.47</v>
      </c>
      <c r="X6" s="203">
        <f t="shared" si="1"/>
        <v>4437</v>
      </c>
      <c r="Y6" s="203">
        <f t="shared" si="1"/>
        <v>13815</v>
      </c>
      <c r="Z6" s="203">
        <f t="shared" si="1"/>
        <v>1054156.29</v>
      </c>
      <c r="AA6" s="203">
        <f t="shared" si="1"/>
        <v>827403.82000000007</v>
      </c>
      <c r="AB6" s="203">
        <f t="shared" si="1"/>
        <v>4144</v>
      </c>
      <c r="AC6" s="203">
        <f t="shared" si="1"/>
        <v>13705</v>
      </c>
      <c r="AD6" s="203">
        <f t="shared" si="1"/>
        <v>1035084.4500000001</v>
      </c>
      <c r="AE6" s="203">
        <f t="shared" si="1"/>
        <v>1284431.3600000001</v>
      </c>
      <c r="AF6" s="203">
        <f t="shared" si="1"/>
        <v>4000</v>
      </c>
      <c r="AG6" s="203">
        <f t="shared" si="1"/>
        <v>12834</v>
      </c>
      <c r="AH6" s="203">
        <f t="shared" si="1"/>
        <v>1026379.8299999998</v>
      </c>
      <c r="AI6" s="203">
        <f t="shared" si="1"/>
        <v>1026379.51</v>
      </c>
      <c r="AJ6" s="203">
        <f t="shared" si="1"/>
        <v>3823</v>
      </c>
      <c r="AK6" s="203">
        <f t="shared" si="1"/>
        <v>11870</v>
      </c>
      <c r="AL6" s="203">
        <f t="shared" si="1"/>
        <v>982825.27</v>
      </c>
      <c r="AM6" s="203">
        <f t="shared" si="1"/>
        <v>982825.27</v>
      </c>
      <c r="AN6" s="203">
        <f t="shared" si="1"/>
        <v>3429</v>
      </c>
      <c r="AO6" s="203">
        <f t="shared" si="1"/>
        <v>11437</v>
      </c>
      <c r="AP6" s="203">
        <f t="shared" si="1"/>
        <v>952224.91</v>
      </c>
      <c r="AQ6" s="203">
        <f t="shared" si="1"/>
        <v>952224.91</v>
      </c>
      <c r="AR6" s="203">
        <f t="shared" si="1"/>
        <v>3311</v>
      </c>
      <c r="AS6" s="203">
        <f t="shared" si="1"/>
        <v>11112</v>
      </c>
      <c r="AT6" s="203">
        <f t="shared" si="1"/>
        <v>0</v>
      </c>
      <c r="AU6" s="203">
        <f t="shared" si="1"/>
        <v>0</v>
      </c>
      <c r="AV6" s="204">
        <f t="shared" si="1"/>
        <v>0</v>
      </c>
      <c r="AW6" s="204">
        <f t="shared" si="1"/>
        <v>0</v>
      </c>
      <c r="AX6" s="203">
        <f t="shared" si="1"/>
        <v>0</v>
      </c>
      <c r="AY6" s="203">
        <f t="shared" si="1"/>
        <v>0</v>
      </c>
      <c r="AZ6" s="204">
        <f t="shared" si="1"/>
        <v>0</v>
      </c>
      <c r="BA6" s="204">
        <f t="shared" si="1"/>
        <v>0</v>
      </c>
      <c r="BB6" s="203">
        <f t="shared" si="1"/>
        <v>0</v>
      </c>
      <c r="BC6" s="203">
        <f t="shared" si="1"/>
        <v>0</v>
      </c>
      <c r="BD6" s="204">
        <f t="shared" si="1"/>
        <v>0</v>
      </c>
      <c r="BE6" s="204">
        <f t="shared" si="1"/>
        <v>0</v>
      </c>
      <c r="BF6" s="199"/>
    </row>
    <row r="7" spans="1:58" s="207" customFormat="1" ht="42" customHeight="1" x14ac:dyDescent="0.25">
      <c r="A7" s="205"/>
      <c r="B7" s="206" t="s">
        <v>347</v>
      </c>
      <c r="C7" s="59"/>
      <c r="D7" s="59"/>
      <c r="E7" s="59">
        <v>2613400</v>
      </c>
      <c r="F7" s="59">
        <f t="shared" ref="F7:G9" si="2">J7+N7+R7+V7+Z7+AD7+AH7+AL7+AP7+AT7+AX7+BB7</f>
        <v>2026819.83</v>
      </c>
      <c r="G7" s="59">
        <f t="shared" si="2"/>
        <v>2026819.5100000002</v>
      </c>
      <c r="H7" s="202">
        <v>14768</v>
      </c>
      <c r="I7" s="202">
        <v>26531</v>
      </c>
      <c r="J7" s="59">
        <v>205217.52</v>
      </c>
      <c r="K7" s="59">
        <v>158109.69</v>
      </c>
      <c r="L7" s="202">
        <v>3080</v>
      </c>
      <c r="M7" s="202">
        <v>3242</v>
      </c>
      <c r="N7" s="59">
        <v>225355.50000000003</v>
      </c>
      <c r="O7" s="59">
        <v>248470.15</v>
      </c>
      <c r="P7" s="202">
        <v>3500</v>
      </c>
      <c r="Q7" s="202">
        <v>3642</v>
      </c>
      <c r="R7" s="59">
        <v>252153.15000000002</v>
      </c>
      <c r="S7" s="59">
        <v>121123.76</v>
      </c>
      <c r="T7" s="202">
        <v>4286</v>
      </c>
      <c r="U7" s="202">
        <v>4470</v>
      </c>
      <c r="V7" s="59">
        <v>237942.13</v>
      </c>
      <c r="W7" s="59">
        <v>370370.26</v>
      </c>
      <c r="X7" s="202">
        <v>3966</v>
      </c>
      <c r="Y7" s="202">
        <v>4140</v>
      </c>
      <c r="Z7" s="65">
        <v>221619.15</v>
      </c>
      <c r="AA7" s="65">
        <v>145968.44</v>
      </c>
      <c r="AB7" s="202">
        <v>3624</v>
      </c>
      <c r="AC7" s="202">
        <v>3760</v>
      </c>
      <c r="AD7" s="65">
        <v>222175.54</v>
      </c>
      <c r="AE7" s="65">
        <v>320420.69</v>
      </c>
      <c r="AF7" s="202">
        <v>3556</v>
      </c>
      <c r="AG7" s="202">
        <v>3725</v>
      </c>
      <c r="AH7" s="65">
        <v>229202.12999999989</v>
      </c>
      <c r="AI7" s="65">
        <v>229201.81</v>
      </c>
      <c r="AJ7" s="202">
        <v>3370</v>
      </c>
      <c r="AK7" s="202">
        <v>3542</v>
      </c>
      <c r="AL7" s="59">
        <v>221343.57000000004</v>
      </c>
      <c r="AM7" s="59">
        <v>221343.57</v>
      </c>
      <c r="AN7" s="202">
        <v>3019</v>
      </c>
      <c r="AO7" s="202">
        <v>3178</v>
      </c>
      <c r="AP7" s="59">
        <v>211811.14</v>
      </c>
      <c r="AQ7" s="59">
        <v>211811.14</v>
      </c>
      <c r="AR7" s="202">
        <v>2903</v>
      </c>
      <c r="AS7" s="202">
        <v>3053</v>
      </c>
      <c r="AT7" s="59"/>
      <c r="AU7" s="59"/>
      <c r="AV7" s="202"/>
      <c r="AW7" s="202"/>
      <c r="AX7" s="59"/>
      <c r="AY7" s="59"/>
      <c r="AZ7" s="202"/>
      <c r="BA7" s="202"/>
      <c r="BB7" s="59"/>
      <c r="BC7" s="59"/>
      <c r="BD7" s="202"/>
      <c r="BE7" s="202"/>
      <c r="BF7" s="199"/>
    </row>
    <row r="8" spans="1:58" s="207" customFormat="1" ht="42" customHeight="1" x14ac:dyDescent="0.25">
      <c r="A8" s="205"/>
      <c r="B8" s="208" t="s">
        <v>53</v>
      </c>
      <c r="C8" s="59"/>
      <c r="D8" s="59"/>
      <c r="E8" s="59">
        <v>9110600</v>
      </c>
      <c r="F8" s="59">
        <f t="shared" si="2"/>
        <v>7283038.540000001</v>
      </c>
      <c r="G8" s="59">
        <f t="shared" si="2"/>
        <v>7283038.540000001</v>
      </c>
      <c r="H8" s="202">
        <v>1403</v>
      </c>
      <c r="I8" s="202">
        <v>60496</v>
      </c>
      <c r="J8" s="59">
        <v>988561.15999999992</v>
      </c>
      <c r="K8" s="59">
        <v>951441.16</v>
      </c>
      <c r="L8" s="202">
        <v>385</v>
      </c>
      <c r="M8" s="202">
        <v>7963</v>
      </c>
      <c r="N8" s="59">
        <v>734134.95000000007</v>
      </c>
      <c r="O8" s="59">
        <v>771254.95</v>
      </c>
      <c r="P8" s="202">
        <v>404</v>
      </c>
      <c r="Q8" s="202">
        <v>8436</v>
      </c>
      <c r="R8" s="59">
        <v>772849.98</v>
      </c>
      <c r="S8" s="59">
        <v>249598</v>
      </c>
      <c r="T8" s="202">
        <v>408</v>
      </c>
      <c r="U8" s="202">
        <v>7040</v>
      </c>
      <c r="V8" s="59">
        <v>842973.23</v>
      </c>
      <c r="W8" s="59">
        <v>1366225.21</v>
      </c>
      <c r="X8" s="202">
        <v>471</v>
      </c>
      <c r="Y8" s="202">
        <v>9675</v>
      </c>
      <c r="Z8" s="65">
        <v>832537.14</v>
      </c>
      <c r="AA8" s="65">
        <v>681435.38</v>
      </c>
      <c r="AB8" s="202">
        <v>520</v>
      </c>
      <c r="AC8" s="202">
        <v>9945</v>
      </c>
      <c r="AD8" s="65">
        <v>812908.91</v>
      </c>
      <c r="AE8" s="65">
        <v>964010.67</v>
      </c>
      <c r="AF8" s="202">
        <v>444</v>
      </c>
      <c r="AG8" s="202">
        <v>9109</v>
      </c>
      <c r="AH8" s="59">
        <v>797177.7</v>
      </c>
      <c r="AI8" s="65">
        <v>797177.7</v>
      </c>
      <c r="AJ8" s="202">
        <v>453</v>
      </c>
      <c r="AK8" s="202">
        <v>8328</v>
      </c>
      <c r="AL8" s="59">
        <v>761481.7</v>
      </c>
      <c r="AM8" s="59">
        <v>761481.7</v>
      </c>
      <c r="AN8" s="202">
        <v>410</v>
      </c>
      <c r="AO8" s="202">
        <v>8259</v>
      </c>
      <c r="AP8" s="59">
        <v>740413.77</v>
      </c>
      <c r="AQ8" s="59">
        <v>740413.77</v>
      </c>
      <c r="AR8" s="202">
        <v>408</v>
      </c>
      <c r="AS8" s="202">
        <v>8059</v>
      </c>
      <c r="AT8" s="59"/>
      <c r="AU8" s="59"/>
      <c r="AV8" s="202"/>
      <c r="AW8" s="202"/>
      <c r="AX8" s="59"/>
      <c r="AY8" s="59"/>
      <c r="AZ8" s="202"/>
      <c r="BA8" s="202"/>
      <c r="BB8" s="59"/>
      <c r="BC8" s="59"/>
      <c r="BD8" s="202"/>
      <c r="BE8" s="202"/>
      <c r="BF8" s="199"/>
    </row>
    <row r="9" spans="1:58" s="207" customFormat="1" ht="42" customHeight="1" x14ac:dyDescent="0.25">
      <c r="A9" s="205"/>
      <c r="B9" s="206" t="s">
        <v>301</v>
      </c>
      <c r="C9" s="59"/>
      <c r="D9" s="59"/>
      <c r="E9" s="59">
        <v>40000</v>
      </c>
      <c r="F9" s="59">
        <f t="shared" si="2"/>
        <v>0</v>
      </c>
      <c r="G9" s="59">
        <f t="shared" si="2"/>
        <v>0</v>
      </c>
      <c r="H9" s="59">
        <f>L9+P9+T9+X9+AB9+AF9+AJ9+AN9+AR9+AV9+AZ9+BD9</f>
        <v>0</v>
      </c>
      <c r="I9" s="59">
        <f>M9+Q9+U9+Y9+AC9+AG9+AK9+AO9+AS9+AW9+BA9+BE9</f>
        <v>0</v>
      </c>
      <c r="J9" s="59">
        <v>0</v>
      </c>
      <c r="K9" s="59">
        <v>0</v>
      </c>
      <c r="L9" s="59">
        <v>0</v>
      </c>
      <c r="M9" s="59">
        <v>0</v>
      </c>
      <c r="N9" s="59">
        <v>0</v>
      </c>
      <c r="O9" s="59">
        <v>0</v>
      </c>
      <c r="P9" s="59">
        <v>0</v>
      </c>
      <c r="Q9" s="59">
        <v>0</v>
      </c>
      <c r="R9" s="59">
        <v>0</v>
      </c>
      <c r="S9" s="59">
        <v>0</v>
      </c>
      <c r="T9" s="59">
        <v>0</v>
      </c>
      <c r="U9" s="59">
        <v>0</v>
      </c>
      <c r="V9" s="59">
        <v>0</v>
      </c>
      <c r="W9" s="59">
        <v>0</v>
      </c>
      <c r="X9" s="59">
        <v>0</v>
      </c>
      <c r="Y9" s="59">
        <v>0</v>
      </c>
      <c r="Z9" s="59">
        <v>0</v>
      </c>
      <c r="AA9" s="59">
        <v>0</v>
      </c>
      <c r="AB9" s="59">
        <v>0</v>
      </c>
      <c r="AC9" s="59">
        <v>0</v>
      </c>
      <c r="AD9" s="59">
        <v>0</v>
      </c>
      <c r="AE9" s="59">
        <v>0</v>
      </c>
      <c r="AF9" s="59">
        <v>0</v>
      </c>
      <c r="AG9" s="59">
        <v>0</v>
      </c>
      <c r="AH9" s="59">
        <v>0</v>
      </c>
      <c r="AI9" s="59">
        <v>0</v>
      </c>
      <c r="AJ9" s="59">
        <v>0</v>
      </c>
      <c r="AK9" s="59">
        <v>0</v>
      </c>
      <c r="AL9" s="59">
        <v>0</v>
      </c>
      <c r="AM9" s="59">
        <v>0</v>
      </c>
      <c r="AN9" s="59">
        <v>0</v>
      </c>
      <c r="AO9" s="59">
        <v>0</v>
      </c>
      <c r="AP9" s="59">
        <v>0</v>
      </c>
      <c r="AQ9" s="59">
        <v>0</v>
      </c>
      <c r="AR9" s="59">
        <v>0</v>
      </c>
      <c r="AS9" s="59">
        <v>0</v>
      </c>
      <c r="AT9" s="59"/>
      <c r="AU9" s="59"/>
      <c r="AV9" s="202"/>
      <c r="AW9" s="202"/>
      <c r="AX9" s="59"/>
      <c r="AY9" s="59"/>
      <c r="AZ9" s="202"/>
      <c r="BA9" s="202"/>
      <c r="BB9" s="59"/>
      <c r="BC9" s="59"/>
      <c r="BD9" s="202"/>
      <c r="BE9" s="202"/>
      <c r="BF9" s="199"/>
    </row>
    <row r="10" spans="1:58" s="200" customFormat="1" ht="42" customHeight="1" x14ac:dyDescent="0.2">
      <c r="A10" s="194" t="s">
        <v>348</v>
      </c>
      <c r="B10" s="195" t="s">
        <v>302</v>
      </c>
      <c r="C10" s="196">
        <v>4894000</v>
      </c>
      <c r="D10" s="196">
        <v>4894000</v>
      </c>
      <c r="E10" s="196">
        <f>SUM(E11:E12)</f>
        <v>4894000</v>
      </c>
      <c r="F10" s="196">
        <f>SUM(F11:F12)</f>
        <v>3614668.25</v>
      </c>
      <c r="G10" s="196">
        <f t="shared" ref="G10:BE10" si="3">SUM(G11:G12)</f>
        <v>3600228.25</v>
      </c>
      <c r="H10" s="196">
        <f t="shared" si="3"/>
        <v>3444</v>
      </c>
      <c r="I10" s="196">
        <f t="shared" si="3"/>
        <v>23239</v>
      </c>
      <c r="J10" s="196">
        <f t="shared" si="3"/>
        <v>458081.20999999996</v>
      </c>
      <c r="K10" s="196">
        <f t="shared" si="3"/>
        <v>242724.59</v>
      </c>
      <c r="L10" s="196">
        <f t="shared" si="3"/>
        <v>2354</v>
      </c>
      <c r="M10" s="196">
        <f t="shared" si="3"/>
        <v>3638</v>
      </c>
      <c r="N10" s="196">
        <f t="shared" si="3"/>
        <v>377958.17000000004</v>
      </c>
      <c r="O10" s="196">
        <f t="shared" si="3"/>
        <v>563938.73</v>
      </c>
      <c r="P10" s="196">
        <f t="shared" si="3"/>
        <v>2253</v>
      </c>
      <c r="Q10" s="196">
        <f t="shared" si="3"/>
        <v>3343</v>
      </c>
      <c r="R10" s="196">
        <f t="shared" si="3"/>
        <v>549432.28</v>
      </c>
      <c r="S10" s="196">
        <f t="shared" si="3"/>
        <v>413336.68</v>
      </c>
      <c r="T10" s="196">
        <f t="shared" si="3"/>
        <v>2351</v>
      </c>
      <c r="U10" s="196">
        <f t="shared" si="3"/>
        <v>3391</v>
      </c>
      <c r="V10" s="196">
        <f t="shared" si="3"/>
        <v>436847.83999999997</v>
      </c>
      <c r="W10" s="196">
        <f t="shared" si="3"/>
        <v>349723.62</v>
      </c>
      <c r="X10" s="196">
        <f t="shared" si="3"/>
        <v>2656</v>
      </c>
      <c r="Y10" s="196">
        <f t="shared" si="3"/>
        <v>4063</v>
      </c>
      <c r="Z10" s="196">
        <f t="shared" si="3"/>
        <v>203381.98</v>
      </c>
      <c r="AA10" s="196">
        <f t="shared" si="3"/>
        <v>431293.45999999996</v>
      </c>
      <c r="AB10" s="196">
        <f t="shared" si="3"/>
        <v>759</v>
      </c>
      <c r="AC10" s="196">
        <f t="shared" si="3"/>
        <v>1235</v>
      </c>
      <c r="AD10" s="196">
        <f t="shared" si="3"/>
        <v>507534.19999999995</v>
      </c>
      <c r="AE10" s="196">
        <f t="shared" si="3"/>
        <v>532218.6</v>
      </c>
      <c r="AF10" s="196">
        <f t="shared" si="3"/>
        <v>2678</v>
      </c>
      <c r="AG10" s="196">
        <f t="shared" si="3"/>
        <v>4027</v>
      </c>
      <c r="AH10" s="196">
        <f t="shared" si="3"/>
        <v>396503.93</v>
      </c>
      <c r="AI10" s="196">
        <f t="shared" si="3"/>
        <v>366570.17000000004</v>
      </c>
      <c r="AJ10" s="196">
        <f t="shared" si="3"/>
        <v>606</v>
      </c>
      <c r="AK10" s="196">
        <f t="shared" si="3"/>
        <v>1027</v>
      </c>
      <c r="AL10" s="196">
        <f t="shared" si="3"/>
        <v>396140.75</v>
      </c>
      <c r="AM10" s="196">
        <f t="shared" si="3"/>
        <v>426074.51</v>
      </c>
      <c r="AN10" s="196">
        <f t="shared" si="3"/>
        <v>572</v>
      </c>
      <c r="AO10" s="196">
        <f t="shared" si="3"/>
        <v>891</v>
      </c>
      <c r="AP10" s="196">
        <f t="shared" si="3"/>
        <v>288787.89</v>
      </c>
      <c r="AQ10" s="196">
        <f t="shared" si="3"/>
        <v>274347.89</v>
      </c>
      <c r="AR10" s="196">
        <f t="shared" si="3"/>
        <v>525</v>
      </c>
      <c r="AS10" s="196">
        <f t="shared" si="3"/>
        <v>871</v>
      </c>
      <c r="AT10" s="196">
        <f t="shared" si="3"/>
        <v>0</v>
      </c>
      <c r="AU10" s="196">
        <f t="shared" si="3"/>
        <v>0</v>
      </c>
      <c r="AV10" s="198">
        <f t="shared" si="3"/>
        <v>0</v>
      </c>
      <c r="AW10" s="198">
        <f t="shared" si="3"/>
        <v>0</v>
      </c>
      <c r="AX10" s="196">
        <f t="shared" si="3"/>
        <v>0</v>
      </c>
      <c r="AY10" s="196">
        <f t="shared" si="3"/>
        <v>0</v>
      </c>
      <c r="AZ10" s="198">
        <f t="shared" si="3"/>
        <v>0</v>
      </c>
      <c r="BA10" s="198">
        <f t="shared" si="3"/>
        <v>0</v>
      </c>
      <c r="BB10" s="196">
        <f t="shared" si="3"/>
        <v>0</v>
      </c>
      <c r="BC10" s="196">
        <f t="shared" si="3"/>
        <v>0</v>
      </c>
      <c r="BD10" s="198">
        <f t="shared" si="3"/>
        <v>0</v>
      </c>
      <c r="BE10" s="198">
        <f t="shared" si="3"/>
        <v>0</v>
      </c>
      <c r="BF10" s="199"/>
    </row>
    <row r="11" spans="1:58" s="207" customFormat="1" ht="42" customHeight="1" x14ac:dyDescent="0.25">
      <c r="A11" s="205"/>
      <c r="B11" s="63" t="s">
        <v>349</v>
      </c>
      <c r="C11" s="59"/>
      <c r="D11" s="59"/>
      <c r="E11" s="59">
        <v>2625000</v>
      </c>
      <c r="F11" s="59">
        <f>J11+N11+R11+V11+Z11+AD11+AH11+AL11+AP11+AT11+AX11+BB11</f>
        <v>2039394.63</v>
      </c>
      <c r="G11" s="59">
        <f>K11+O11+S11+W11+AA11+AE11+AI11+AM11+AQ11+AU11+AY11+BC11</f>
        <v>2039394.6300000001</v>
      </c>
      <c r="H11" s="202">
        <v>3183</v>
      </c>
      <c r="I11" s="202">
        <v>22974</v>
      </c>
      <c r="J11" s="59">
        <v>206363.47</v>
      </c>
      <c r="K11" s="59">
        <v>154310.12</v>
      </c>
      <c r="L11" s="202">
        <v>2270</v>
      </c>
      <c r="M11" s="202">
        <v>3552</v>
      </c>
      <c r="N11" s="59">
        <v>215960</v>
      </c>
      <c r="O11" s="59">
        <f>222109.1+45904.25</f>
        <v>268013.34999999998</v>
      </c>
      <c r="P11" s="202">
        <v>2202</v>
      </c>
      <c r="Q11" s="202">
        <v>3291</v>
      </c>
      <c r="R11" s="59">
        <v>361196.70999999996</v>
      </c>
      <c r="S11" s="59">
        <v>309638.81</v>
      </c>
      <c r="T11" s="202">
        <v>2287</v>
      </c>
      <c r="U11" s="202">
        <v>3327</v>
      </c>
      <c r="V11" s="59">
        <v>249733.36</v>
      </c>
      <c r="W11" s="59">
        <v>138898.91</v>
      </c>
      <c r="X11" s="202">
        <v>2594</v>
      </c>
      <c r="Y11" s="202">
        <v>4000</v>
      </c>
      <c r="Z11" s="65">
        <v>94215.99</v>
      </c>
      <c r="AA11" s="65">
        <v>231923.94</v>
      </c>
      <c r="AB11" s="202">
        <v>727</v>
      </c>
      <c r="AC11" s="202">
        <v>1203</v>
      </c>
      <c r="AD11" s="65">
        <v>239925.91</v>
      </c>
      <c r="AE11" s="65">
        <v>264610.31</v>
      </c>
      <c r="AF11" s="202">
        <v>2595</v>
      </c>
      <c r="AG11" s="202">
        <v>3941</v>
      </c>
      <c r="AH11" s="59">
        <v>231689.79</v>
      </c>
      <c r="AI11" s="65">
        <v>231689.79</v>
      </c>
      <c r="AJ11" s="202">
        <v>550</v>
      </c>
      <c r="AK11" s="202">
        <v>971</v>
      </c>
      <c r="AL11" s="59">
        <v>229286.15999999997</v>
      </c>
      <c r="AM11" s="59">
        <v>229286.16</v>
      </c>
      <c r="AN11" s="202">
        <v>514</v>
      </c>
      <c r="AO11" s="202">
        <v>833</v>
      </c>
      <c r="AP11" s="59">
        <v>211023.24</v>
      </c>
      <c r="AQ11" s="59">
        <v>211023.24</v>
      </c>
      <c r="AR11" s="202">
        <v>501</v>
      </c>
      <c r="AS11" s="202">
        <v>847</v>
      </c>
      <c r="AT11" s="59"/>
      <c r="AU11" s="59"/>
      <c r="AV11" s="202"/>
      <c r="AW11" s="202"/>
      <c r="AX11" s="59"/>
      <c r="AY11" s="59"/>
      <c r="AZ11" s="202"/>
      <c r="BA11" s="202"/>
      <c r="BB11" s="59"/>
      <c r="BC11" s="59"/>
      <c r="BD11" s="202"/>
      <c r="BE11" s="202"/>
      <c r="BF11" s="199"/>
    </row>
    <row r="12" spans="1:58" s="207" customFormat="1" ht="42" customHeight="1" x14ac:dyDescent="0.25">
      <c r="A12" s="205"/>
      <c r="B12" s="63" t="s">
        <v>350</v>
      </c>
      <c r="C12" s="59"/>
      <c r="D12" s="59"/>
      <c r="E12" s="59">
        <v>2269000</v>
      </c>
      <c r="F12" s="59">
        <f>J12+N12+R12+V12+Z12+AD12+AH12+AL12+AP12+AT12+AX12+BB12</f>
        <v>1575273.6199999999</v>
      </c>
      <c r="G12" s="59">
        <f>K12+O12+S12+W12+AA12+AE12+AI12+AM12+AQ12+AU12+AY12+BC12</f>
        <v>1560833.62</v>
      </c>
      <c r="H12" s="202">
        <f>L12+P12++T12+X12</f>
        <v>261</v>
      </c>
      <c r="I12" s="202">
        <f>M12+Q12++U12+Y12</f>
        <v>265</v>
      </c>
      <c r="J12" s="59">
        <v>251717.74</v>
      </c>
      <c r="K12" s="59">
        <v>88414.47</v>
      </c>
      <c r="L12" s="202">
        <v>84</v>
      </c>
      <c r="M12" s="202">
        <v>86</v>
      </c>
      <c r="N12" s="59">
        <v>161998.17000000001</v>
      </c>
      <c r="O12" s="59">
        <v>295925.38</v>
      </c>
      <c r="P12" s="202">
        <v>51</v>
      </c>
      <c r="Q12" s="202">
        <v>52</v>
      </c>
      <c r="R12" s="59">
        <v>188235.57</v>
      </c>
      <c r="S12" s="59">
        <v>103697.87</v>
      </c>
      <c r="T12" s="202">
        <v>64</v>
      </c>
      <c r="U12" s="202">
        <v>64</v>
      </c>
      <c r="V12" s="59">
        <v>187114.48</v>
      </c>
      <c r="W12" s="59">
        <v>210824.71</v>
      </c>
      <c r="X12" s="202">
        <v>62</v>
      </c>
      <c r="Y12" s="202">
        <v>63</v>
      </c>
      <c r="Z12" s="65">
        <v>109165.99</v>
      </c>
      <c r="AA12" s="65">
        <v>199369.52</v>
      </c>
      <c r="AB12" s="202">
        <v>32</v>
      </c>
      <c r="AC12" s="202">
        <v>32</v>
      </c>
      <c r="AD12" s="65">
        <v>267608.28999999998</v>
      </c>
      <c r="AE12" s="65">
        <v>267608.28999999998</v>
      </c>
      <c r="AF12" s="202">
        <v>83</v>
      </c>
      <c r="AG12" s="202">
        <v>86</v>
      </c>
      <c r="AH12" s="202">
        <f>[1]Sheet0!$E$7</f>
        <v>164814.13999999998</v>
      </c>
      <c r="AI12" s="202">
        <v>134880.38</v>
      </c>
      <c r="AJ12" s="202">
        <v>56</v>
      </c>
      <c r="AK12" s="202">
        <v>56</v>
      </c>
      <c r="AL12" s="59">
        <v>166854.59</v>
      </c>
      <c r="AM12" s="59">
        <v>196788.35</v>
      </c>
      <c r="AN12" s="202">
        <v>58</v>
      </c>
      <c r="AO12" s="202">
        <v>58</v>
      </c>
      <c r="AP12" s="59">
        <v>77764.649999999994</v>
      </c>
      <c r="AQ12" s="59">
        <v>63324.65</v>
      </c>
      <c r="AR12" s="202">
        <v>24</v>
      </c>
      <c r="AS12" s="202">
        <v>24</v>
      </c>
      <c r="AT12" s="59"/>
      <c r="AU12" s="59"/>
      <c r="AV12" s="202"/>
      <c r="AW12" s="202"/>
      <c r="AX12" s="59"/>
      <c r="AY12" s="59"/>
      <c r="AZ12" s="202"/>
      <c r="BA12" s="202"/>
      <c r="BB12" s="59"/>
      <c r="BC12" s="59"/>
      <c r="BD12" s="202"/>
      <c r="BE12" s="202"/>
      <c r="BF12" s="199"/>
    </row>
    <row r="13" spans="1:58" s="200" customFormat="1" ht="42" customHeight="1" x14ac:dyDescent="0.2">
      <c r="A13" s="194" t="s">
        <v>351</v>
      </c>
      <c r="B13" s="209" t="s">
        <v>78</v>
      </c>
      <c r="C13" s="196">
        <v>6458000</v>
      </c>
      <c r="D13" s="196">
        <v>6458000</v>
      </c>
      <c r="E13" s="196">
        <f>SUM(E14:E20)</f>
        <v>6614000</v>
      </c>
      <c r="F13" s="196">
        <f>SUM(F14:F20)</f>
        <v>4487870.62</v>
      </c>
      <c r="G13" s="196">
        <f t="shared" ref="G13:BE13" si="4">SUM(G14:G20)</f>
        <v>4386151.84</v>
      </c>
      <c r="H13" s="196">
        <f t="shared" si="4"/>
        <v>83464</v>
      </c>
      <c r="I13" s="196">
        <f t="shared" si="4"/>
        <v>129239</v>
      </c>
      <c r="J13" s="196">
        <f t="shared" si="4"/>
        <v>438334.74</v>
      </c>
      <c r="K13" s="196">
        <f t="shared" si="4"/>
        <v>305223.92000000004</v>
      </c>
      <c r="L13" s="196">
        <f t="shared" si="4"/>
        <v>18194</v>
      </c>
      <c r="M13" s="196">
        <f t="shared" si="4"/>
        <v>18301</v>
      </c>
      <c r="N13" s="196">
        <f t="shared" si="4"/>
        <v>534742.68999999994</v>
      </c>
      <c r="O13" s="196">
        <f t="shared" si="4"/>
        <v>580242.77999999991</v>
      </c>
      <c r="P13" s="196">
        <f t="shared" si="4"/>
        <v>17057</v>
      </c>
      <c r="Q13" s="196">
        <f t="shared" si="4"/>
        <v>18161</v>
      </c>
      <c r="R13" s="196">
        <f t="shared" si="4"/>
        <v>503546.51</v>
      </c>
      <c r="S13" s="196">
        <f t="shared" si="4"/>
        <v>543487.15</v>
      </c>
      <c r="T13" s="196">
        <f t="shared" si="4"/>
        <v>16844</v>
      </c>
      <c r="U13" s="196">
        <f t="shared" si="4"/>
        <v>16928</v>
      </c>
      <c r="V13" s="196">
        <f t="shared" si="4"/>
        <v>519335.89999999991</v>
      </c>
      <c r="W13" s="196">
        <f t="shared" si="4"/>
        <v>319540.27999999997</v>
      </c>
      <c r="X13" s="196">
        <f t="shared" si="4"/>
        <v>17514</v>
      </c>
      <c r="Y13" s="196">
        <f t="shared" si="4"/>
        <v>17619</v>
      </c>
      <c r="Z13" s="196">
        <f t="shared" si="4"/>
        <v>554899.23</v>
      </c>
      <c r="AA13" s="196">
        <f t="shared" si="4"/>
        <v>553294.87</v>
      </c>
      <c r="AB13" s="196">
        <f t="shared" si="4"/>
        <v>16240</v>
      </c>
      <c r="AC13" s="196">
        <f t="shared" si="4"/>
        <v>16304</v>
      </c>
      <c r="AD13" s="196">
        <f t="shared" si="4"/>
        <v>449174.11</v>
      </c>
      <c r="AE13" s="196">
        <f t="shared" si="4"/>
        <v>578760.74</v>
      </c>
      <c r="AF13" s="196">
        <f t="shared" si="4"/>
        <v>17131</v>
      </c>
      <c r="AG13" s="196">
        <f t="shared" si="4"/>
        <v>17211</v>
      </c>
      <c r="AH13" s="196">
        <f t="shared" si="4"/>
        <v>361317.18999999994</v>
      </c>
      <c r="AI13" s="196">
        <f t="shared" si="4"/>
        <v>347153.27999999997</v>
      </c>
      <c r="AJ13" s="196">
        <f t="shared" si="4"/>
        <v>19333</v>
      </c>
      <c r="AK13" s="196">
        <f t="shared" si="4"/>
        <v>16403</v>
      </c>
      <c r="AL13" s="196">
        <f t="shared" si="4"/>
        <v>626221.92999999993</v>
      </c>
      <c r="AM13" s="196">
        <f t="shared" si="4"/>
        <v>595185.59000000008</v>
      </c>
      <c r="AN13" s="196">
        <f t="shared" si="4"/>
        <v>15945</v>
      </c>
      <c r="AO13" s="196">
        <f t="shared" si="4"/>
        <v>16029</v>
      </c>
      <c r="AP13" s="196">
        <f t="shared" si="4"/>
        <v>500298.32</v>
      </c>
      <c r="AQ13" s="196">
        <f t="shared" si="4"/>
        <v>563263.23</v>
      </c>
      <c r="AR13" s="196">
        <f t="shared" si="4"/>
        <v>16425</v>
      </c>
      <c r="AS13" s="196">
        <f t="shared" si="4"/>
        <v>16528</v>
      </c>
      <c r="AT13" s="196">
        <f t="shared" si="4"/>
        <v>0</v>
      </c>
      <c r="AU13" s="196">
        <f t="shared" si="4"/>
        <v>0</v>
      </c>
      <c r="AV13" s="204">
        <f t="shared" si="4"/>
        <v>0</v>
      </c>
      <c r="AW13" s="204">
        <f t="shared" si="4"/>
        <v>0</v>
      </c>
      <c r="AX13" s="196">
        <f t="shared" si="4"/>
        <v>0</v>
      </c>
      <c r="AY13" s="196">
        <f t="shared" si="4"/>
        <v>0</v>
      </c>
      <c r="AZ13" s="204">
        <f t="shared" si="4"/>
        <v>0</v>
      </c>
      <c r="BA13" s="204">
        <f t="shared" si="4"/>
        <v>0</v>
      </c>
      <c r="BB13" s="196">
        <f t="shared" si="4"/>
        <v>0</v>
      </c>
      <c r="BC13" s="196">
        <f t="shared" si="4"/>
        <v>0</v>
      </c>
      <c r="BD13" s="204">
        <f t="shared" si="4"/>
        <v>0</v>
      </c>
      <c r="BE13" s="204">
        <f t="shared" si="4"/>
        <v>0</v>
      </c>
      <c r="BF13" s="199"/>
    </row>
    <row r="14" spans="1:58" s="207" customFormat="1" ht="42" customHeight="1" x14ac:dyDescent="0.25">
      <c r="A14" s="205"/>
      <c r="B14" s="67" t="s">
        <v>80</v>
      </c>
      <c r="C14" s="59"/>
      <c r="D14" s="59"/>
      <c r="E14" s="59">
        <v>2700000</v>
      </c>
      <c r="F14" s="59">
        <f t="shared" ref="F14:G20" si="5">J14+N14+R14+V14+Z14+AD14+AH14+AL14+AP14+AT14+AX14+BB14</f>
        <v>1824629</v>
      </c>
      <c r="G14" s="59">
        <f t="shared" si="5"/>
        <v>1810787</v>
      </c>
      <c r="H14" s="202">
        <v>48067</v>
      </c>
      <c r="I14" s="202">
        <v>92850</v>
      </c>
      <c r="J14" s="202">
        <v>229558</v>
      </c>
      <c r="K14" s="59">
        <v>140838</v>
      </c>
      <c r="L14" s="202">
        <v>12523</v>
      </c>
      <c r="M14" s="202">
        <v>12603</v>
      </c>
      <c r="N14" s="59">
        <v>202146</v>
      </c>
      <c r="O14" s="59">
        <v>225121</v>
      </c>
      <c r="P14" s="202">
        <v>11556</v>
      </c>
      <c r="Q14" s="202">
        <v>12632</v>
      </c>
      <c r="R14" s="59">
        <v>216659</v>
      </c>
      <c r="S14" s="59">
        <f>246941</f>
        <v>246941</v>
      </c>
      <c r="T14" s="202">
        <v>11573</v>
      </c>
      <c r="U14" s="202">
        <v>11631</v>
      </c>
      <c r="V14" s="59">
        <v>218480</v>
      </c>
      <c r="W14" s="59">
        <v>132923</v>
      </c>
      <c r="X14" s="202">
        <v>12311</v>
      </c>
      <c r="Y14" s="202">
        <v>12378</v>
      </c>
      <c r="Z14" s="65">
        <v>201572</v>
      </c>
      <c r="AA14" s="65">
        <v>249225</v>
      </c>
      <c r="AB14" s="202">
        <v>11410</v>
      </c>
      <c r="AC14" s="202">
        <v>11436</v>
      </c>
      <c r="AD14" s="65">
        <v>198420</v>
      </c>
      <c r="AE14" s="65">
        <v>238866</v>
      </c>
      <c r="AF14" s="202">
        <v>12224</v>
      </c>
      <c r="AG14" s="202">
        <v>12278</v>
      </c>
      <c r="AH14" s="59">
        <v>203777</v>
      </c>
      <c r="AI14" s="65">
        <v>195001</v>
      </c>
      <c r="AJ14" s="202">
        <v>11114</v>
      </c>
      <c r="AK14" s="202">
        <v>11177</v>
      </c>
      <c r="AL14" s="59">
        <v>185609</v>
      </c>
      <c r="AM14" s="59">
        <v>156405</v>
      </c>
      <c r="AN14" s="202">
        <v>10231</v>
      </c>
      <c r="AO14" s="202">
        <v>10293</v>
      </c>
      <c r="AP14" s="59">
        <v>168408</v>
      </c>
      <c r="AQ14" s="59">
        <v>225467</v>
      </c>
      <c r="AR14" s="202">
        <v>10491</v>
      </c>
      <c r="AS14" s="202">
        <v>10560</v>
      </c>
      <c r="AT14" s="59"/>
      <c r="AU14" s="59"/>
      <c r="AV14" s="202"/>
      <c r="AW14" s="202"/>
      <c r="AX14" s="59"/>
      <c r="AY14" s="59"/>
      <c r="AZ14" s="202"/>
      <c r="BA14" s="202"/>
      <c r="BB14" s="59"/>
      <c r="BC14" s="59"/>
      <c r="BD14" s="202"/>
      <c r="BE14" s="202"/>
      <c r="BF14" s="199"/>
    </row>
    <row r="15" spans="1:58" s="207" customFormat="1" ht="42" customHeight="1" x14ac:dyDescent="0.25">
      <c r="A15" s="205"/>
      <c r="B15" s="68" t="s">
        <v>81</v>
      </c>
      <c r="C15" s="59"/>
      <c r="D15" s="59"/>
      <c r="E15" s="59">
        <v>2474700</v>
      </c>
      <c r="F15" s="59">
        <f t="shared" si="5"/>
        <v>1608716.9600000002</v>
      </c>
      <c r="G15" s="59">
        <f t="shared" si="5"/>
        <v>1520839.5799999998</v>
      </c>
      <c r="H15" s="202">
        <f>L15+P15+T15+X15</f>
        <v>1065</v>
      </c>
      <c r="I15" s="202">
        <f>M15+Q15+U15+Y15</f>
        <v>1106</v>
      </c>
      <c r="J15" s="59">
        <v>106044.54999999999</v>
      </c>
      <c r="K15" s="59">
        <f>59779.48+1249.5+624.75</f>
        <v>61653.73</v>
      </c>
      <c r="L15" s="202">
        <v>160</v>
      </c>
      <c r="M15" s="202">
        <v>162</v>
      </c>
      <c r="N15" s="59">
        <v>231344.49</v>
      </c>
      <c r="O15" s="59">
        <f>4212.56+249657.02</f>
        <v>253869.58</v>
      </c>
      <c r="P15" s="202">
        <v>338</v>
      </c>
      <c r="Q15" s="202">
        <v>351</v>
      </c>
      <c r="R15" s="59">
        <v>185536.39</v>
      </c>
      <c r="S15" s="65">
        <f>10671.38+184523.65</f>
        <v>195195.03</v>
      </c>
      <c r="T15" s="202">
        <v>290</v>
      </c>
      <c r="U15" s="202">
        <v>301</v>
      </c>
      <c r="V15" s="59">
        <v>195845.33</v>
      </c>
      <c r="W15" s="59">
        <f>14613.38+66992.73</f>
        <v>81606.11</v>
      </c>
      <c r="X15" s="202">
        <v>277</v>
      </c>
      <c r="Y15" s="202">
        <v>292</v>
      </c>
      <c r="Z15" s="65">
        <v>260376.88</v>
      </c>
      <c r="AA15" s="65">
        <f>207117.54+4001.98</f>
        <v>211119.52000000002</v>
      </c>
      <c r="AB15" s="202">
        <v>377</v>
      </c>
      <c r="AC15" s="202">
        <v>402</v>
      </c>
      <c r="AD15" s="65">
        <v>153296.71</v>
      </c>
      <c r="AE15" s="65">
        <f>7680.63+233865.83+890.88</f>
        <v>242437.34</v>
      </c>
      <c r="AF15" s="202">
        <v>231</v>
      </c>
      <c r="AG15" s="202">
        <v>241</v>
      </c>
      <c r="AH15" s="59">
        <v>36636.93</v>
      </c>
      <c r="AI15" s="65">
        <f>624.75+30624.27</f>
        <v>31249.02</v>
      </c>
      <c r="AJ15" s="202">
        <v>55</v>
      </c>
      <c r="AK15" s="202">
        <v>52</v>
      </c>
      <c r="AL15" s="59">
        <v>207703.36000000002</v>
      </c>
      <c r="AM15" s="59">
        <v>205871.02</v>
      </c>
      <c r="AN15" s="202">
        <v>314</v>
      </c>
      <c r="AO15" s="202">
        <v>326</v>
      </c>
      <c r="AP15" s="59">
        <v>231932.32</v>
      </c>
      <c r="AQ15" s="59">
        <v>237838.23</v>
      </c>
      <c r="AR15" s="202">
        <v>341</v>
      </c>
      <c r="AS15" s="202">
        <v>355</v>
      </c>
      <c r="AT15" s="59"/>
      <c r="AU15" s="59"/>
      <c r="AV15" s="202"/>
      <c r="AW15" s="202"/>
      <c r="AX15" s="59"/>
      <c r="AY15" s="59"/>
      <c r="AZ15" s="202"/>
      <c r="BA15" s="202"/>
      <c r="BB15" s="59"/>
      <c r="BC15" s="59"/>
      <c r="BD15" s="202"/>
      <c r="BE15" s="202"/>
      <c r="BF15" s="199"/>
    </row>
    <row r="16" spans="1:58" s="207" customFormat="1" ht="42" customHeight="1" x14ac:dyDescent="0.25">
      <c r="A16" s="205"/>
      <c r="B16" s="68" t="s">
        <v>82</v>
      </c>
      <c r="C16" s="59"/>
      <c r="D16" s="59"/>
      <c r="E16" s="59">
        <v>413300</v>
      </c>
      <c r="F16" s="59">
        <f t="shared" si="5"/>
        <v>314385.62</v>
      </c>
      <c r="G16" s="59">
        <f t="shared" si="5"/>
        <v>314385.62</v>
      </c>
      <c r="H16" s="202">
        <v>2858</v>
      </c>
      <c r="I16" s="202">
        <v>2933</v>
      </c>
      <c r="J16" s="59">
        <v>33813.589999999997</v>
      </c>
      <c r="K16" s="59">
        <v>33813.589999999997</v>
      </c>
      <c r="L16" s="202">
        <v>418</v>
      </c>
      <c r="M16" s="202">
        <v>421</v>
      </c>
      <c r="N16" s="59">
        <v>34169.599999999999</v>
      </c>
      <c r="O16" s="59">
        <v>34169.599999999999</v>
      </c>
      <c r="P16" s="202">
        <v>360</v>
      </c>
      <c r="Q16" s="202">
        <v>360</v>
      </c>
      <c r="R16" s="59">
        <v>39907.120000000003</v>
      </c>
      <c r="S16" s="59">
        <v>39907.120000000003</v>
      </c>
      <c r="T16" s="202">
        <v>457</v>
      </c>
      <c r="U16" s="202">
        <v>462</v>
      </c>
      <c r="V16" s="59">
        <v>38479.97</v>
      </c>
      <c r="W16" s="59">
        <v>38479.97</v>
      </c>
      <c r="X16" s="202">
        <v>438</v>
      </c>
      <c r="Y16" s="202">
        <v>439</v>
      </c>
      <c r="Z16" s="65">
        <v>34500.35</v>
      </c>
      <c r="AA16" s="65">
        <v>34500.35</v>
      </c>
      <c r="AB16" s="202">
        <v>412</v>
      </c>
      <c r="AC16" s="202">
        <v>413</v>
      </c>
      <c r="AD16" s="65">
        <v>35907</v>
      </c>
      <c r="AE16" s="65">
        <v>35907</v>
      </c>
      <c r="AF16" s="202">
        <v>383</v>
      </c>
      <c r="AG16" s="202">
        <v>388</v>
      </c>
      <c r="AH16" s="59">
        <v>34441.660000000003</v>
      </c>
      <c r="AI16" s="65">
        <v>34441.660000000003</v>
      </c>
      <c r="AJ16" s="202">
        <v>449</v>
      </c>
      <c r="AK16" s="202">
        <v>450</v>
      </c>
      <c r="AL16" s="59">
        <v>33106.33</v>
      </c>
      <c r="AM16" s="59">
        <v>33106.33</v>
      </c>
      <c r="AN16" s="202">
        <v>379</v>
      </c>
      <c r="AO16" s="202">
        <v>381</v>
      </c>
      <c r="AP16" s="59">
        <v>30060</v>
      </c>
      <c r="AQ16" s="59">
        <v>30060</v>
      </c>
      <c r="AR16" s="202">
        <v>321</v>
      </c>
      <c r="AS16" s="202">
        <v>322</v>
      </c>
      <c r="AT16" s="59"/>
      <c r="AU16" s="59"/>
      <c r="AV16" s="202"/>
      <c r="AW16" s="202"/>
      <c r="AX16" s="59"/>
      <c r="AY16" s="59"/>
      <c r="AZ16" s="202"/>
      <c r="BA16" s="202"/>
      <c r="BB16" s="59"/>
      <c r="BC16" s="59"/>
      <c r="BD16" s="202"/>
      <c r="BE16" s="202"/>
      <c r="BF16" s="199"/>
    </row>
    <row r="17" spans="1:58" s="207" customFormat="1" ht="42" customHeight="1" x14ac:dyDescent="0.25">
      <c r="A17" s="205"/>
      <c r="B17" s="68" t="s">
        <v>84</v>
      </c>
      <c r="C17" s="59"/>
      <c r="D17" s="59"/>
      <c r="E17" s="59">
        <v>800000</v>
      </c>
      <c r="F17" s="59">
        <f t="shared" si="5"/>
        <v>549752</v>
      </c>
      <c r="G17" s="59">
        <f t="shared" si="5"/>
        <v>549752</v>
      </c>
      <c r="H17" s="202">
        <v>31474</v>
      </c>
      <c r="I17" s="202">
        <v>32350</v>
      </c>
      <c r="J17" s="59">
        <v>65918.600000000006</v>
      </c>
      <c r="K17" s="59">
        <v>65918.600000000006</v>
      </c>
      <c r="L17" s="202">
        <v>5093</v>
      </c>
      <c r="M17" s="202">
        <v>5115</v>
      </c>
      <c r="N17" s="59">
        <v>62570.6</v>
      </c>
      <c r="O17" s="59">
        <v>62570.6</v>
      </c>
      <c r="P17" s="202">
        <v>4803</v>
      </c>
      <c r="Q17" s="202">
        <v>4818</v>
      </c>
      <c r="R17" s="59">
        <v>58444</v>
      </c>
      <c r="S17" s="59">
        <v>58444</v>
      </c>
      <c r="T17" s="202">
        <v>4524</v>
      </c>
      <c r="U17" s="202">
        <v>4534</v>
      </c>
      <c r="V17" s="59">
        <v>60107.6</v>
      </c>
      <c r="W17" s="59">
        <v>60107.6</v>
      </c>
      <c r="X17" s="202">
        <v>4488</v>
      </c>
      <c r="Y17" s="202">
        <v>4510</v>
      </c>
      <c r="Z17" s="65">
        <v>53318.8</v>
      </c>
      <c r="AA17" s="65">
        <v>53318.8</v>
      </c>
      <c r="AB17" s="202">
        <v>4041</v>
      </c>
      <c r="AC17" s="202">
        <v>4053</v>
      </c>
      <c r="AD17" s="65">
        <v>57038.400000000001</v>
      </c>
      <c r="AE17" s="65">
        <v>57038.400000000001</v>
      </c>
      <c r="AF17" s="202">
        <v>4293</v>
      </c>
      <c r="AG17" s="202">
        <v>4304</v>
      </c>
      <c r="AH17" s="59">
        <v>60306.6</v>
      </c>
      <c r="AI17" s="65">
        <v>60306.6</v>
      </c>
      <c r="AJ17" s="202">
        <v>4715</v>
      </c>
      <c r="AK17" s="202">
        <v>4724</v>
      </c>
      <c r="AL17" s="59">
        <v>65149.399999999994</v>
      </c>
      <c r="AM17" s="59">
        <v>65149.4</v>
      </c>
      <c r="AN17" s="202">
        <v>5021</v>
      </c>
      <c r="AO17" s="202">
        <v>5029</v>
      </c>
      <c r="AP17" s="59">
        <v>66898</v>
      </c>
      <c r="AQ17" s="59">
        <v>66898</v>
      </c>
      <c r="AR17" s="202">
        <v>5272</v>
      </c>
      <c r="AS17" s="202">
        <v>5291</v>
      </c>
      <c r="AT17" s="59"/>
      <c r="AU17" s="59"/>
      <c r="AV17" s="202"/>
      <c r="AW17" s="202"/>
      <c r="AX17" s="59"/>
      <c r="AY17" s="59"/>
      <c r="AZ17" s="202"/>
      <c r="BA17" s="202"/>
      <c r="BB17" s="59"/>
      <c r="BC17" s="59"/>
      <c r="BD17" s="202"/>
      <c r="BE17" s="202"/>
      <c r="BF17" s="199"/>
    </row>
    <row r="18" spans="1:58" s="207" customFormat="1" ht="42" customHeight="1" x14ac:dyDescent="0.25">
      <c r="A18" s="205"/>
      <c r="B18" s="68" t="s">
        <v>352</v>
      </c>
      <c r="C18" s="59"/>
      <c r="D18" s="59"/>
      <c r="E18" s="59">
        <v>34000</v>
      </c>
      <c r="F18" s="59">
        <f t="shared" si="5"/>
        <v>31733.200000000001</v>
      </c>
      <c r="G18" s="59">
        <f t="shared" si="5"/>
        <v>31733.8</v>
      </c>
      <c r="H18" s="202"/>
      <c r="I18" s="202"/>
      <c r="J18" s="59"/>
      <c r="K18" s="59"/>
      <c r="L18" s="202"/>
      <c r="M18" s="202"/>
      <c r="N18" s="59">
        <v>1512</v>
      </c>
      <c r="O18" s="59">
        <f>1512</f>
        <v>1512</v>
      </c>
      <c r="P18" s="202"/>
      <c r="Q18" s="202"/>
      <c r="R18" s="59"/>
      <c r="S18" s="59"/>
      <c r="T18" s="202"/>
      <c r="U18" s="202"/>
      <c r="V18" s="59">
        <v>3423</v>
      </c>
      <c r="W18" s="59">
        <f>3024+399.6</f>
        <v>3423.6</v>
      </c>
      <c r="X18" s="202"/>
      <c r="Y18" s="202"/>
      <c r="Z18" s="65">
        <f>2131.2</f>
        <v>2131.1999999999998</v>
      </c>
      <c r="AA18" s="65">
        <f>2131.2</f>
        <v>2131.1999999999998</v>
      </c>
      <c r="AB18" s="202"/>
      <c r="AC18" s="202"/>
      <c r="AD18" s="65">
        <f>1512</f>
        <v>1512</v>
      </c>
      <c r="AE18" s="65">
        <f>1512</f>
        <v>1512</v>
      </c>
      <c r="AF18" s="202"/>
      <c r="AG18" s="202"/>
      <c r="AH18" s="65">
        <f>3024+20131</f>
        <v>23155</v>
      </c>
      <c r="AI18" s="65">
        <f>3024+20131</f>
        <v>23155</v>
      </c>
      <c r="AJ18" s="202"/>
      <c r="AK18" s="202"/>
      <c r="AL18" s="59"/>
      <c r="AM18" s="59"/>
      <c r="AN18" s="202"/>
      <c r="AO18" s="202"/>
      <c r="AP18" s="59"/>
      <c r="AQ18" s="59"/>
      <c r="AR18" s="202"/>
      <c r="AS18" s="202"/>
      <c r="AT18" s="59"/>
      <c r="AU18" s="59"/>
      <c r="AV18" s="202"/>
      <c r="AW18" s="202"/>
      <c r="AX18" s="59"/>
      <c r="AY18" s="59"/>
      <c r="AZ18" s="202"/>
      <c r="BA18" s="202"/>
      <c r="BB18" s="59"/>
      <c r="BC18" s="59"/>
      <c r="BD18" s="202"/>
      <c r="BE18" s="202"/>
      <c r="BF18" s="199"/>
    </row>
    <row r="19" spans="1:58" s="207" customFormat="1" ht="42" customHeight="1" x14ac:dyDescent="0.25">
      <c r="A19" s="205"/>
      <c r="B19" s="68" t="s">
        <v>353</v>
      </c>
      <c r="C19" s="59"/>
      <c r="D19" s="59"/>
      <c r="E19" s="59">
        <v>36000</v>
      </c>
      <c r="F19" s="59">
        <f t="shared" si="5"/>
        <v>27000</v>
      </c>
      <c r="G19" s="59">
        <f t="shared" si="5"/>
        <v>27000</v>
      </c>
      <c r="H19" s="202"/>
      <c r="I19" s="202"/>
      <c r="J19" s="59">
        <v>3000</v>
      </c>
      <c r="K19" s="210">
        <v>3000</v>
      </c>
      <c r="L19" s="202"/>
      <c r="M19" s="202"/>
      <c r="N19" s="59">
        <v>3000</v>
      </c>
      <c r="O19" s="210">
        <v>3000</v>
      </c>
      <c r="P19" s="202"/>
      <c r="Q19" s="202"/>
      <c r="R19" s="210">
        <v>3000</v>
      </c>
      <c r="S19" s="210">
        <v>3000</v>
      </c>
      <c r="T19" s="202"/>
      <c r="U19" s="202"/>
      <c r="V19" s="59">
        <f>1500+1500</f>
        <v>3000</v>
      </c>
      <c r="W19" s="59">
        <f>1500+1500</f>
        <v>3000</v>
      </c>
      <c r="X19" s="202"/>
      <c r="Y19" s="202"/>
      <c r="Z19" s="211">
        <v>3000</v>
      </c>
      <c r="AA19" s="211">
        <v>3000</v>
      </c>
      <c r="AB19" s="202"/>
      <c r="AC19" s="202"/>
      <c r="AD19" s="65">
        <v>3000</v>
      </c>
      <c r="AE19" s="65">
        <v>3000</v>
      </c>
      <c r="AF19" s="202"/>
      <c r="AG19" s="202"/>
      <c r="AH19" s="65">
        <v>3000</v>
      </c>
      <c r="AI19" s="65">
        <v>3000</v>
      </c>
      <c r="AJ19" s="202"/>
      <c r="AK19" s="202"/>
      <c r="AL19" s="59">
        <v>3000</v>
      </c>
      <c r="AM19" s="59">
        <v>3000</v>
      </c>
      <c r="AN19" s="202"/>
      <c r="AO19" s="202"/>
      <c r="AP19" s="59">
        <v>3000</v>
      </c>
      <c r="AQ19" s="59">
        <v>3000</v>
      </c>
      <c r="AR19" s="202"/>
      <c r="AS19" s="202"/>
      <c r="AT19" s="59"/>
      <c r="AU19" s="59"/>
      <c r="AV19" s="202"/>
      <c r="AW19" s="202"/>
      <c r="AX19" s="59"/>
      <c r="AY19" s="59"/>
      <c r="AZ19" s="202"/>
      <c r="BA19" s="202"/>
      <c r="BB19" s="59"/>
      <c r="BC19" s="59"/>
      <c r="BD19" s="202"/>
      <c r="BE19" s="202"/>
      <c r="BF19" s="199"/>
    </row>
    <row r="20" spans="1:58" s="207" customFormat="1" ht="42" customHeight="1" x14ac:dyDescent="0.25">
      <c r="A20" s="205"/>
      <c r="B20" s="68" t="s">
        <v>354</v>
      </c>
      <c r="C20" s="59"/>
      <c r="D20" s="59"/>
      <c r="E20" s="59">
        <v>156000</v>
      </c>
      <c r="F20" s="59">
        <f t="shared" si="5"/>
        <v>131653.84</v>
      </c>
      <c r="G20" s="59">
        <f t="shared" si="5"/>
        <v>131653.84</v>
      </c>
      <c r="H20" s="202"/>
      <c r="I20" s="202"/>
      <c r="J20" s="59"/>
      <c r="K20" s="210"/>
      <c r="L20" s="202"/>
      <c r="M20" s="202"/>
      <c r="N20" s="59"/>
      <c r="O20" s="210"/>
      <c r="P20" s="202"/>
      <c r="Q20" s="202"/>
      <c r="R20" s="210"/>
      <c r="S20" s="210"/>
      <c r="T20" s="202"/>
      <c r="U20" s="202"/>
      <c r="V20" s="59"/>
      <c r="W20" s="59"/>
      <c r="X20" s="202"/>
      <c r="Y20" s="202"/>
      <c r="Z20" s="65"/>
      <c r="AA20" s="211"/>
      <c r="AB20" s="202"/>
      <c r="AC20" s="202"/>
      <c r="AD20" s="65"/>
      <c r="AE20" s="65"/>
      <c r="AF20" s="202"/>
      <c r="AG20" s="202"/>
      <c r="AH20" s="59"/>
      <c r="AI20" s="65"/>
      <c r="AJ20" s="59">
        <v>3000</v>
      </c>
      <c r="AK20" s="202"/>
      <c r="AL20" s="59">
        <v>131653.84</v>
      </c>
      <c r="AM20" s="59">
        <v>131653.84</v>
      </c>
      <c r="AN20" s="202"/>
      <c r="AO20" s="202"/>
      <c r="AP20" s="59"/>
      <c r="AQ20" s="59"/>
      <c r="AR20" s="202"/>
      <c r="AS20" s="202"/>
      <c r="AT20" s="59"/>
      <c r="AU20" s="59"/>
      <c r="AV20" s="202"/>
      <c r="AW20" s="202"/>
      <c r="AX20" s="59"/>
      <c r="AY20" s="59"/>
      <c r="AZ20" s="202"/>
      <c r="BA20" s="202"/>
      <c r="BB20" s="59"/>
      <c r="BC20" s="59"/>
      <c r="BD20" s="202"/>
      <c r="BE20" s="202"/>
      <c r="BF20" s="199"/>
    </row>
    <row r="21" spans="1:58" s="200" customFormat="1" ht="42" customHeight="1" x14ac:dyDescent="0.2">
      <c r="A21" s="194" t="s">
        <v>94</v>
      </c>
      <c r="B21" s="195" t="s">
        <v>95</v>
      </c>
      <c r="C21" s="196">
        <v>5000000</v>
      </c>
      <c r="D21" s="196">
        <v>5000000</v>
      </c>
      <c r="E21" s="196">
        <f>SUM(E22:E27)</f>
        <v>5000000</v>
      </c>
      <c r="F21" s="196">
        <f>SUM(F22:F27)</f>
        <v>3705374.47</v>
      </c>
      <c r="G21" s="196">
        <f t="shared" ref="G21:BE21" si="6">SUM(G22:G27)</f>
        <v>3667950.8200000003</v>
      </c>
      <c r="H21" s="196">
        <f t="shared" si="6"/>
        <v>3748</v>
      </c>
      <c r="I21" s="196">
        <f t="shared" si="6"/>
        <v>21091</v>
      </c>
      <c r="J21" s="196">
        <f t="shared" si="6"/>
        <v>346035.3</v>
      </c>
      <c r="K21" s="196">
        <f t="shared" si="6"/>
        <v>344035.3</v>
      </c>
      <c r="L21" s="196">
        <f t="shared" si="6"/>
        <v>2288</v>
      </c>
      <c r="M21" s="196">
        <f t="shared" si="6"/>
        <v>2378</v>
      </c>
      <c r="N21" s="196">
        <f t="shared" si="6"/>
        <v>299211.10000000003</v>
      </c>
      <c r="O21" s="196">
        <f t="shared" si="6"/>
        <v>263818.64</v>
      </c>
      <c r="P21" s="196">
        <f t="shared" si="6"/>
        <v>2308</v>
      </c>
      <c r="Q21" s="196">
        <f t="shared" si="6"/>
        <v>2372</v>
      </c>
      <c r="R21" s="196">
        <f t="shared" si="6"/>
        <v>345716.74</v>
      </c>
      <c r="S21" s="196">
        <f t="shared" si="6"/>
        <v>331646.06</v>
      </c>
      <c r="T21" s="196">
        <f t="shared" si="6"/>
        <v>2333</v>
      </c>
      <c r="U21" s="196">
        <f t="shared" si="6"/>
        <v>2419</v>
      </c>
      <c r="V21" s="196">
        <f t="shared" si="6"/>
        <v>1075253.0999999999</v>
      </c>
      <c r="W21" s="196">
        <f t="shared" si="6"/>
        <v>1126716.24</v>
      </c>
      <c r="X21" s="196">
        <f t="shared" si="6"/>
        <v>2310</v>
      </c>
      <c r="Y21" s="196">
        <f t="shared" si="6"/>
        <v>4390</v>
      </c>
      <c r="Z21" s="196">
        <f t="shared" si="6"/>
        <v>320483.51</v>
      </c>
      <c r="AA21" s="196">
        <f t="shared" si="6"/>
        <v>329667.03000000003</v>
      </c>
      <c r="AB21" s="196">
        <f t="shared" si="6"/>
        <v>2400</v>
      </c>
      <c r="AC21" s="196">
        <f t="shared" si="6"/>
        <v>2488</v>
      </c>
      <c r="AD21" s="196">
        <f t="shared" si="6"/>
        <v>318980.31</v>
      </c>
      <c r="AE21" s="196">
        <f t="shared" si="6"/>
        <v>284194.57</v>
      </c>
      <c r="AF21" s="196">
        <f t="shared" si="6"/>
        <v>2499</v>
      </c>
      <c r="AG21" s="196">
        <f t="shared" si="6"/>
        <v>2603</v>
      </c>
      <c r="AH21" s="196">
        <f t="shared" si="6"/>
        <v>336654.88</v>
      </c>
      <c r="AI21" s="196">
        <f t="shared" si="6"/>
        <v>375440.31999999995</v>
      </c>
      <c r="AJ21" s="196">
        <f t="shared" si="6"/>
        <v>2541</v>
      </c>
      <c r="AK21" s="196">
        <f t="shared" si="6"/>
        <v>2656</v>
      </c>
      <c r="AL21" s="196">
        <f t="shared" si="6"/>
        <v>330360.45999999996</v>
      </c>
      <c r="AM21" s="196">
        <f t="shared" si="6"/>
        <v>330360.45999999996</v>
      </c>
      <c r="AN21" s="196">
        <f t="shared" si="6"/>
        <v>2684</v>
      </c>
      <c r="AO21" s="196">
        <f t="shared" si="6"/>
        <v>2852</v>
      </c>
      <c r="AP21" s="196">
        <f t="shared" si="6"/>
        <v>332679.07</v>
      </c>
      <c r="AQ21" s="196">
        <f t="shared" si="6"/>
        <v>282072.2</v>
      </c>
      <c r="AR21" s="196">
        <f t="shared" si="6"/>
        <v>2875</v>
      </c>
      <c r="AS21" s="196">
        <f t="shared" si="6"/>
        <v>3136</v>
      </c>
      <c r="AT21" s="196">
        <f t="shared" si="6"/>
        <v>0</v>
      </c>
      <c r="AU21" s="196">
        <f t="shared" si="6"/>
        <v>0</v>
      </c>
      <c r="AV21" s="198">
        <f t="shared" si="6"/>
        <v>0</v>
      </c>
      <c r="AW21" s="198">
        <f t="shared" si="6"/>
        <v>0</v>
      </c>
      <c r="AX21" s="196">
        <f t="shared" si="6"/>
        <v>0</v>
      </c>
      <c r="AY21" s="196">
        <f t="shared" si="6"/>
        <v>0</v>
      </c>
      <c r="AZ21" s="198">
        <f t="shared" si="6"/>
        <v>0</v>
      </c>
      <c r="BA21" s="198">
        <f t="shared" si="6"/>
        <v>0</v>
      </c>
      <c r="BB21" s="196">
        <f t="shared" si="6"/>
        <v>0</v>
      </c>
      <c r="BC21" s="196">
        <f t="shared" si="6"/>
        <v>0</v>
      </c>
      <c r="BD21" s="198">
        <f t="shared" si="6"/>
        <v>0</v>
      </c>
      <c r="BE21" s="198">
        <f t="shared" si="6"/>
        <v>0</v>
      </c>
      <c r="BF21" s="199"/>
    </row>
    <row r="22" spans="1:58" s="207" customFormat="1" ht="42" customHeight="1" x14ac:dyDescent="0.25">
      <c r="A22" s="205"/>
      <c r="B22" s="63" t="s">
        <v>355</v>
      </c>
      <c r="C22" s="59"/>
      <c r="D22" s="59"/>
      <c r="E22" s="59">
        <v>890000</v>
      </c>
      <c r="F22" s="59">
        <f t="shared" ref="F22:G27" si="7">J22+N22+R22+V22+Z22+AD22+AH22+AL22+AP22+AT22+AX22+BB22</f>
        <v>572627.40999999992</v>
      </c>
      <c r="G22" s="59">
        <f t="shared" si="7"/>
        <v>557729.11</v>
      </c>
      <c r="H22" s="202">
        <v>230</v>
      </c>
      <c r="I22" s="202">
        <v>469</v>
      </c>
      <c r="J22" s="59">
        <v>68202.299999999988</v>
      </c>
      <c r="K22" s="59">
        <v>66202.3</v>
      </c>
      <c r="L22" s="202">
        <v>21</v>
      </c>
      <c r="M22" s="202">
        <v>46</v>
      </c>
      <c r="N22" s="59">
        <v>32585.64</v>
      </c>
      <c r="O22" s="59">
        <v>30985.64</v>
      </c>
      <c r="P22" s="202">
        <v>27</v>
      </c>
      <c r="Q22" s="202">
        <v>27</v>
      </c>
      <c r="R22" s="59">
        <v>78018.679999999993</v>
      </c>
      <c r="S22" s="59">
        <v>35297.71</v>
      </c>
      <c r="T22" s="202">
        <v>60</v>
      </c>
      <c r="U22" s="202">
        <v>101</v>
      </c>
      <c r="V22" s="59">
        <v>69689.33</v>
      </c>
      <c r="W22" s="59">
        <v>116010.3</v>
      </c>
      <c r="X22" s="202">
        <v>47</v>
      </c>
      <c r="Y22" s="202">
        <v>75</v>
      </c>
      <c r="Z22" s="65">
        <v>56635.91</v>
      </c>
      <c r="AA22" s="65">
        <v>65819.429999999993</v>
      </c>
      <c r="AB22" s="202">
        <v>35</v>
      </c>
      <c r="AC22" s="202">
        <v>55</v>
      </c>
      <c r="AD22" s="65">
        <v>56239.99</v>
      </c>
      <c r="AE22" s="65">
        <v>40207.550000000003</v>
      </c>
      <c r="AF22" s="202">
        <v>41</v>
      </c>
      <c r="AG22" s="202">
        <v>64</v>
      </c>
      <c r="AH22" s="59">
        <v>72638.989999999991</v>
      </c>
      <c r="AI22" s="65">
        <v>92671.43</v>
      </c>
      <c r="AJ22" s="202">
        <v>50</v>
      </c>
      <c r="AK22" s="202">
        <v>74</v>
      </c>
      <c r="AL22" s="59">
        <v>68465.63</v>
      </c>
      <c r="AM22" s="59">
        <v>68465.63</v>
      </c>
      <c r="AN22" s="202">
        <v>51</v>
      </c>
      <c r="AO22" s="202">
        <v>74</v>
      </c>
      <c r="AP22" s="59">
        <v>70150.94</v>
      </c>
      <c r="AQ22" s="59">
        <v>42069.120000000003</v>
      </c>
      <c r="AR22" s="202">
        <v>46</v>
      </c>
      <c r="AS22" s="202">
        <v>75</v>
      </c>
      <c r="AT22" s="59"/>
      <c r="AU22" s="59"/>
      <c r="AV22" s="202"/>
      <c r="AW22" s="202"/>
      <c r="AX22" s="59"/>
      <c r="AY22" s="59"/>
      <c r="AZ22" s="202"/>
      <c r="BA22" s="202"/>
      <c r="BB22" s="59"/>
      <c r="BC22" s="59"/>
      <c r="BD22" s="202"/>
      <c r="BE22" s="202"/>
      <c r="BF22" s="199"/>
    </row>
    <row r="23" spans="1:58" s="207" customFormat="1" ht="42" customHeight="1" x14ac:dyDescent="0.25">
      <c r="A23" s="205"/>
      <c r="B23" s="63" t="s">
        <v>356</v>
      </c>
      <c r="C23" s="59"/>
      <c r="D23" s="59"/>
      <c r="E23" s="59">
        <v>2772800</v>
      </c>
      <c r="F23" s="59">
        <f t="shared" si="7"/>
        <v>2073529.2000000002</v>
      </c>
      <c r="G23" s="59">
        <f t="shared" si="7"/>
        <v>2051004.1500000001</v>
      </c>
      <c r="H23" s="202">
        <v>3212</v>
      </c>
      <c r="I23" s="202">
        <v>18530</v>
      </c>
      <c r="J23" s="59">
        <v>229833</v>
      </c>
      <c r="K23" s="59">
        <v>229833</v>
      </c>
      <c r="L23" s="202">
        <v>2219</v>
      </c>
      <c r="M23" s="202">
        <v>2284</v>
      </c>
      <c r="N23" s="59">
        <v>229833</v>
      </c>
      <c r="O23" s="59">
        <v>229833</v>
      </c>
      <c r="P23" s="202">
        <v>2234</v>
      </c>
      <c r="Q23" s="202">
        <v>2298</v>
      </c>
      <c r="R23" s="59">
        <v>229833</v>
      </c>
      <c r="S23" s="59">
        <v>229833</v>
      </c>
      <c r="T23" s="202">
        <v>2227</v>
      </c>
      <c r="U23" s="202">
        <v>2272</v>
      </c>
      <c r="V23" s="59">
        <v>230008.72</v>
      </c>
      <c r="W23" s="59">
        <v>230008.72</v>
      </c>
      <c r="X23" s="202">
        <v>2218</v>
      </c>
      <c r="Y23" s="202">
        <v>4265</v>
      </c>
      <c r="Z23" s="65">
        <v>230997.34</v>
      </c>
      <c r="AA23" s="65">
        <v>230997.34</v>
      </c>
      <c r="AB23" s="202">
        <v>2325</v>
      </c>
      <c r="AC23" s="202">
        <v>2387</v>
      </c>
      <c r="AD23" s="65">
        <v>230987.02</v>
      </c>
      <c r="AE23" s="65">
        <v>230987.02</v>
      </c>
      <c r="AF23" s="202">
        <v>2409</v>
      </c>
      <c r="AG23" s="202">
        <v>2490</v>
      </c>
      <c r="AH23" s="59">
        <v>230987.02</v>
      </c>
      <c r="AI23" s="65">
        <v>230987.02</v>
      </c>
      <c r="AJ23" s="202">
        <v>2443</v>
      </c>
      <c r="AK23" s="202">
        <v>2534</v>
      </c>
      <c r="AL23" s="59">
        <v>230525.05</v>
      </c>
      <c r="AM23" s="59">
        <v>230525.05</v>
      </c>
      <c r="AN23" s="202">
        <v>2588</v>
      </c>
      <c r="AO23" s="202">
        <v>2732</v>
      </c>
      <c r="AP23" s="59">
        <v>230525.05</v>
      </c>
      <c r="AQ23" s="59">
        <v>208000</v>
      </c>
      <c r="AR23" s="202">
        <v>2780</v>
      </c>
      <c r="AS23" s="202">
        <v>3012</v>
      </c>
      <c r="AT23" s="59"/>
      <c r="AU23" s="59"/>
      <c r="AV23" s="202"/>
      <c r="AW23" s="202"/>
      <c r="AX23" s="59"/>
      <c r="AY23" s="59"/>
      <c r="AZ23" s="202"/>
      <c r="BA23" s="202"/>
      <c r="BB23" s="59"/>
      <c r="BC23" s="59"/>
      <c r="BD23" s="202"/>
      <c r="BE23" s="202"/>
      <c r="BF23" s="199"/>
    </row>
    <row r="24" spans="1:58" s="207" customFormat="1" ht="42" customHeight="1" x14ac:dyDescent="0.25">
      <c r="A24" s="205"/>
      <c r="B24" s="63" t="s">
        <v>357</v>
      </c>
      <c r="C24" s="59"/>
      <c r="D24" s="59"/>
      <c r="E24" s="59">
        <v>881200</v>
      </c>
      <c r="F24" s="59">
        <f t="shared" si="7"/>
        <v>741263.41999999993</v>
      </c>
      <c r="G24" s="59">
        <f t="shared" si="7"/>
        <v>741263.41999999993</v>
      </c>
      <c r="H24" s="202"/>
      <c r="I24" s="202"/>
      <c r="J24" s="59"/>
      <c r="K24" s="59"/>
      <c r="L24" s="202"/>
      <c r="M24" s="202"/>
      <c r="N24" s="59"/>
      <c r="O24" s="59"/>
      <c r="P24" s="202"/>
      <c r="Q24" s="202"/>
      <c r="R24" s="59"/>
      <c r="S24" s="59"/>
      <c r="T24" s="202"/>
      <c r="U24" s="202"/>
      <c r="V24" s="59">
        <f>200+90216.68+650846.74</f>
        <v>741263.41999999993</v>
      </c>
      <c r="W24" s="59">
        <f>200+90216.68+650846.74</f>
        <v>741263.41999999993</v>
      </c>
      <c r="X24" s="202"/>
      <c r="Y24" s="202"/>
      <c r="Z24" s="65"/>
      <c r="AA24" s="65"/>
      <c r="AB24" s="202"/>
      <c r="AC24" s="202"/>
      <c r="AD24" s="65"/>
      <c r="AE24" s="65"/>
      <c r="AF24" s="202"/>
      <c r="AG24" s="202"/>
      <c r="AH24" s="59"/>
      <c r="AI24" s="65"/>
      <c r="AJ24" s="202"/>
      <c r="AK24" s="202"/>
      <c r="AL24" s="59"/>
      <c r="AM24" s="59"/>
      <c r="AN24" s="202"/>
      <c r="AO24" s="202"/>
      <c r="AP24" s="59"/>
      <c r="AQ24" s="59"/>
      <c r="AR24" s="202"/>
      <c r="AS24" s="202"/>
      <c r="AT24" s="59"/>
      <c r="AU24" s="59"/>
      <c r="AV24" s="202"/>
      <c r="AW24" s="202"/>
      <c r="AX24" s="59"/>
      <c r="AY24" s="59"/>
      <c r="AZ24" s="202"/>
      <c r="BA24" s="202"/>
      <c r="BB24" s="59"/>
      <c r="BC24" s="59"/>
      <c r="BD24" s="202"/>
      <c r="BE24" s="202"/>
      <c r="BF24" s="199"/>
    </row>
    <row r="25" spans="1:58" s="207" customFormat="1" ht="42" customHeight="1" x14ac:dyDescent="0.25">
      <c r="A25" s="205"/>
      <c r="B25" s="63" t="s">
        <v>358</v>
      </c>
      <c r="C25" s="59"/>
      <c r="D25" s="59"/>
      <c r="E25" s="59">
        <v>36000</v>
      </c>
      <c r="F25" s="59">
        <f t="shared" si="7"/>
        <v>27000</v>
      </c>
      <c r="G25" s="59">
        <f t="shared" si="7"/>
        <v>27000</v>
      </c>
      <c r="H25" s="202"/>
      <c r="I25" s="202"/>
      <c r="J25" s="59">
        <v>3000</v>
      </c>
      <c r="K25" s="59">
        <v>3000</v>
      </c>
      <c r="L25" s="202"/>
      <c r="M25" s="202"/>
      <c r="N25" s="59">
        <v>3000</v>
      </c>
      <c r="O25" s="59">
        <v>3000</v>
      </c>
      <c r="P25" s="202"/>
      <c r="Q25" s="202"/>
      <c r="R25" s="59">
        <v>3000</v>
      </c>
      <c r="S25" s="59">
        <v>3000</v>
      </c>
      <c r="T25" s="202"/>
      <c r="U25" s="202"/>
      <c r="V25" s="59">
        <f>1500+1500</f>
        <v>3000</v>
      </c>
      <c r="W25" s="59">
        <f>1500+1500</f>
        <v>3000</v>
      </c>
      <c r="X25" s="202"/>
      <c r="Y25" s="202"/>
      <c r="Z25" s="65">
        <v>3000</v>
      </c>
      <c r="AA25" s="211">
        <v>3000</v>
      </c>
      <c r="AB25" s="202"/>
      <c r="AC25" s="202"/>
      <c r="AD25" s="65">
        <v>3000</v>
      </c>
      <c r="AE25" s="65">
        <v>3000</v>
      </c>
      <c r="AF25" s="202"/>
      <c r="AG25" s="202"/>
      <c r="AH25" s="59">
        <v>3000</v>
      </c>
      <c r="AI25" s="65">
        <v>3000</v>
      </c>
      <c r="AJ25" s="202"/>
      <c r="AK25" s="202"/>
      <c r="AL25" s="59">
        <v>3000</v>
      </c>
      <c r="AM25" s="59">
        <v>3000</v>
      </c>
      <c r="AN25" s="202"/>
      <c r="AO25" s="202"/>
      <c r="AP25" s="59">
        <v>3000</v>
      </c>
      <c r="AQ25" s="59">
        <v>3000</v>
      </c>
      <c r="AR25" s="202"/>
      <c r="AS25" s="202"/>
      <c r="AT25" s="59"/>
      <c r="AU25" s="59"/>
      <c r="AV25" s="202"/>
      <c r="AW25" s="202"/>
      <c r="AX25" s="59"/>
      <c r="AY25" s="59"/>
      <c r="AZ25" s="202"/>
      <c r="BA25" s="202"/>
      <c r="BB25" s="59"/>
      <c r="BC25" s="59"/>
      <c r="BD25" s="202"/>
      <c r="BE25" s="202"/>
      <c r="BF25" s="199"/>
    </row>
    <row r="26" spans="1:58" s="207" customFormat="1" ht="42" customHeight="1" x14ac:dyDescent="0.25">
      <c r="A26" s="212"/>
      <c r="B26" s="63" t="s">
        <v>100</v>
      </c>
      <c r="C26" s="59"/>
      <c r="D26" s="62"/>
      <c r="E26" s="62">
        <v>120000</v>
      </c>
      <c r="F26" s="59">
        <f t="shared" si="7"/>
        <v>100000</v>
      </c>
      <c r="G26" s="59">
        <f t="shared" si="7"/>
        <v>100000</v>
      </c>
      <c r="H26" s="202"/>
      <c r="I26" s="202"/>
      <c r="J26" s="62">
        <v>20000</v>
      </c>
      <c r="K26" s="59">
        <v>20000</v>
      </c>
      <c r="L26" s="202"/>
      <c r="M26" s="202"/>
      <c r="N26" s="62">
        <v>10000</v>
      </c>
      <c r="O26" s="62"/>
      <c r="P26" s="202"/>
      <c r="Q26" s="202"/>
      <c r="R26" s="62">
        <v>10000</v>
      </c>
      <c r="S26" s="62">
        <v>20000</v>
      </c>
      <c r="T26" s="202"/>
      <c r="U26" s="202"/>
      <c r="V26" s="62">
        <v>10000</v>
      </c>
      <c r="W26" s="62">
        <v>10000</v>
      </c>
      <c r="X26" s="202"/>
      <c r="Y26" s="202"/>
      <c r="Z26" s="66">
        <v>10000</v>
      </c>
      <c r="AA26" s="66">
        <v>10000</v>
      </c>
      <c r="AB26" s="202"/>
      <c r="AC26" s="202"/>
      <c r="AD26" s="66">
        <v>10000</v>
      </c>
      <c r="AE26" s="66">
        <v>10000</v>
      </c>
      <c r="AF26" s="202"/>
      <c r="AG26" s="202"/>
      <c r="AH26" s="62">
        <v>10000</v>
      </c>
      <c r="AI26" s="66">
        <v>10000</v>
      </c>
      <c r="AJ26" s="202"/>
      <c r="AK26" s="202"/>
      <c r="AL26" s="62">
        <v>10000</v>
      </c>
      <c r="AM26" s="62">
        <v>10000</v>
      </c>
      <c r="AN26" s="202"/>
      <c r="AO26" s="202"/>
      <c r="AP26" s="62">
        <v>10000</v>
      </c>
      <c r="AQ26" s="62">
        <v>10000</v>
      </c>
      <c r="AR26" s="202"/>
      <c r="AS26" s="202"/>
      <c r="AT26" s="62"/>
      <c r="AU26" s="62"/>
      <c r="AV26" s="202"/>
      <c r="AW26" s="202"/>
      <c r="AX26" s="62"/>
      <c r="AY26" s="62"/>
      <c r="AZ26" s="202"/>
      <c r="BA26" s="202"/>
      <c r="BB26" s="62"/>
      <c r="BC26" s="62"/>
      <c r="BD26" s="202"/>
      <c r="BE26" s="202"/>
      <c r="BF26" s="199"/>
    </row>
    <row r="27" spans="1:58" s="207" customFormat="1" ht="42" customHeight="1" x14ac:dyDescent="0.25">
      <c r="A27" s="212"/>
      <c r="B27" s="63" t="s">
        <v>306</v>
      </c>
      <c r="C27" s="59"/>
      <c r="D27" s="62"/>
      <c r="E27" s="62">
        <v>300000</v>
      </c>
      <c r="F27" s="59">
        <f t="shared" si="7"/>
        <v>190954.44</v>
      </c>
      <c r="G27" s="59">
        <f t="shared" si="7"/>
        <v>190954.14</v>
      </c>
      <c r="H27" s="202">
        <v>306</v>
      </c>
      <c r="I27" s="202">
        <v>2092</v>
      </c>
      <c r="J27" s="62">
        <v>25000</v>
      </c>
      <c r="K27" s="59">
        <v>25000</v>
      </c>
      <c r="L27" s="202">
        <v>48</v>
      </c>
      <c r="M27" s="202">
        <v>48</v>
      </c>
      <c r="N27" s="62">
        <v>23792.46</v>
      </c>
      <c r="O27" s="62"/>
      <c r="P27" s="202">
        <v>47</v>
      </c>
      <c r="Q27" s="202">
        <v>47</v>
      </c>
      <c r="R27" s="62">
        <v>24865.06</v>
      </c>
      <c r="S27" s="62">
        <v>43515.35</v>
      </c>
      <c r="T27" s="202">
        <v>46</v>
      </c>
      <c r="U27" s="202">
        <v>46</v>
      </c>
      <c r="V27" s="62">
        <v>21291.63</v>
      </c>
      <c r="W27" s="62">
        <v>26433.8</v>
      </c>
      <c r="X27" s="202">
        <v>45</v>
      </c>
      <c r="Y27" s="202">
        <v>50</v>
      </c>
      <c r="Z27" s="66">
        <v>19850.259999999998</v>
      </c>
      <c r="AA27" s="66">
        <v>19850.259999999998</v>
      </c>
      <c r="AB27" s="202">
        <v>40</v>
      </c>
      <c r="AC27" s="202">
        <v>46</v>
      </c>
      <c r="AD27" s="66">
        <v>18753.3</v>
      </c>
      <c r="AE27" s="66"/>
      <c r="AF27" s="202">
        <v>49</v>
      </c>
      <c r="AG27" s="202">
        <v>49</v>
      </c>
      <c r="AH27" s="62">
        <v>20028.87</v>
      </c>
      <c r="AI27" s="66">
        <v>38781.869999999995</v>
      </c>
      <c r="AJ27" s="202">
        <v>48</v>
      </c>
      <c r="AK27" s="202">
        <v>48</v>
      </c>
      <c r="AL27" s="62">
        <v>18369.78</v>
      </c>
      <c r="AM27" s="62">
        <v>18369.78</v>
      </c>
      <c r="AN27" s="202">
        <v>45</v>
      </c>
      <c r="AO27" s="202">
        <v>46</v>
      </c>
      <c r="AP27" s="62">
        <v>19003.080000000002</v>
      </c>
      <c r="AQ27" s="62">
        <v>19003.080000000002</v>
      </c>
      <c r="AR27" s="202">
        <v>49</v>
      </c>
      <c r="AS27" s="202">
        <v>49</v>
      </c>
      <c r="AT27" s="62"/>
      <c r="AU27" s="62"/>
      <c r="AV27" s="202"/>
      <c r="AW27" s="202"/>
      <c r="AX27" s="62"/>
      <c r="AY27" s="62"/>
      <c r="AZ27" s="202"/>
      <c r="BA27" s="202"/>
      <c r="BB27" s="62"/>
      <c r="BC27" s="62"/>
      <c r="BD27" s="202"/>
      <c r="BE27" s="202"/>
      <c r="BF27" s="199"/>
    </row>
    <row r="28" spans="1:58" s="214" customFormat="1" ht="51" customHeight="1" x14ac:dyDescent="0.25">
      <c r="A28" s="194" t="s">
        <v>401</v>
      </c>
      <c r="B28" s="213" t="s">
        <v>359</v>
      </c>
      <c r="C28" s="196">
        <v>22000000</v>
      </c>
      <c r="D28" s="196">
        <v>20620000</v>
      </c>
      <c r="E28" s="197">
        <f>E29+E30+E31</f>
        <v>20620000</v>
      </c>
      <c r="F28" s="196">
        <f>SUM(F29:F31)</f>
        <v>4137070.45</v>
      </c>
      <c r="G28" s="196">
        <f t="shared" ref="G28:AS28" si="8">SUM(G29:G31)</f>
        <v>4061583.24</v>
      </c>
      <c r="H28" s="196">
        <f t="shared" si="8"/>
        <v>10876</v>
      </c>
      <c r="I28" s="196">
        <f t="shared" si="8"/>
        <v>9485</v>
      </c>
      <c r="J28" s="196">
        <f t="shared" si="8"/>
        <v>169992.87000000002</v>
      </c>
      <c r="K28" s="196">
        <f t="shared" si="8"/>
        <v>107963.77</v>
      </c>
      <c r="L28" s="196">
        <f t="shared" si="8"/>
        <v>1776</v>
      </c>
      <c r="M28" s="196">
        <f t="shared" si="8"/>
        <v>0</v>
      </c>
      <c r="N28" s="196">
        <f t="shared" si="8"/>
        <v>213167.28000000003</v>
      </c>
      <c r="O28" s="196">
        <f t="shared" si="8"/>
        <v>218091.80000000002</v>
      </c>
      <c r="P28" s="196">
        <f t="shared" si="8"/>
        <v>2828</v>
      </c>
      <c r="Q28" s="196">
        <f t="shared" si="8"/>
        <v>2968</v>
      </c>
      <c r="R28" s="196">
        <f t="shared" si="8"/>
        <v>172401.07</v>
      </c>
      <c r="S28" s="196">
        <f t="shared" si="8"/>
        <v>208072.25</v>
      </c>
      <c r="T28" s="196">
        <f t="shared" si="8"/>
        <v>2752</v>
      </c>
      <c r="U28" s="196">
        <f t="shared" si="8"/>
        <v>2838</v>
      </c>
      <c r="V28" s="196">
        <f t="shared" si="8"/>
        <v>911980.55</v>
      </c>
      <c r="W28" s="196">
        <f t="shared" si="8"/>
        <v>805668.35000000009</v>
      </c>
      <c r="X28" s="196">
        <f t="shared" si="8"/>
        <v>3520</v>
      </c>
      <c r="Y28" s="196">
        <f t="shared" si="8"/>
        <v>3679</v>
      </c>
      <c r="Z28" s="196">
        <f t="shared" si="8"/>
        <v>177747.53999999998</v>
      </c>
      <c r="AA28" s="196">
        <f t="shared" si="8"/>
        <v>197389.34000000003</v>
      </c>
      <c r="AB28" s="196">
        <f t="shared" si="8"/>
        <v>1791</v>
      </c>
      <c r="AC28" s="196">
        <f t="shared" si="8"/>
        <v>1794</v>
      </c>
      <c r="AD28" s="196">
        <f t="shared" si="8"/>
        <v>607333.28</v>
      </c>
      <c r="AE28" s="196">
        <f t="shared" si="8"/>
        <v>515821.48</v>
      </c>
      <c r="AF28" s="196">
        <f t="shared" si="8"/>
        <v>6817</v>
      </c>
      <c r="AG28" s="196">
        <f t="shared" si="8"/>
        <v>7315</v>
      </c>
      <c r="AH28" s="196">
        <f t="shared" si="8"/>
        <v>906267.57</v>
      </c>
      <c r="AI28" s="196">
        <f t="shared" si="8"/>
        <v>966442.55999999994</v>
      </c>
      <c r="AJ28" s="196">
        <f t="shared" si="8"/>
        <v>0</v>
      </c>
      <c r="AK28" s="196">
        <f t="shared" si="8"/>
        <v>0</v>
      </c>
      <c r="AL28" s="196">
        <f t="shared" si="8"/>
        <v>465913.38</v>
      </c>
      <c r="AM28" s="196">
        <f t="shared" si="8"/>
        <v>517779.58999999997</v>
      </c>
      <c r="AN28" s="196">
        <f t="shared" si="8"/>
        <v>4153</v>
      </c>
      <c r="AO28" s="196">
        <f t="shared" si="8"/>
        <v>4237</v>
      </c>
      <c r="AP28" s="196">
        <f t="shared" si="8"/>
        <v>512266.91000000003</v>
      </c>
      <c r="AQ28" s="196">
        <f t="shared" si="8"/>
        <v>524354.1</v>
      </c>
      <c r="AR28" s="196">
        <f t="shared" si="8"/>
        <v>0</v>
      </c>
      <c r="AS28" s="196">
        <f t="shared" si="8"/>
        <v>0</v>
      </c>
      <c r="AT28" s="196">
        <f t="shared" ref="AT28:BE28" si="9">SUM(AT29:AT31)</f>
        <v>0</v>
      </c>
      <c r="AU28" s="196">
        <f t="shared" si="9"/>
        <v>0</v>
      </c>
      <c r="AV28" s="198">
        <f t="shared" si="9"/>
        <v>0</v>
      </c>
      <c r="AW28" s="198">
        <f t="shared" si="9"/>
        <v>0</v>
      </c>
      <c r="AX28" s="196">
        <f t="shared" si="9"/>
        <v>0</v>
      </c>
      <c r="AY28" s="196">
        <f t="shared" si="9"/>
        <v>0</v>
      </c>
      <c r="AZ28" s="198">
        <f t="shared" si="9"/>
        <v>0</v>
      </c>
      <c r="BA28" s="198">
        <f t="shared" si="9"/>
        <v>0</v>
      </c>
      <c r="BB28" s="196">
        <f t="shared" si="9"/>
        <v>0</v>
      </c>
      <c r="BC28" s="196">
        <f t="shared" si="9"/>
        <v>0</v>
      </c>
      <c r="BD28" s="198">
        <f t="shared" si="9"/>
        <v>0</v>
      </c>
      <c r="BE28" s="198">
        <f t="shared" si="9"/>
        <v>0</v>
      </c>
      <c r="BF28" s="199"/>
    </row>
    <row r="29" spans="1:58" s="207" customFormat="1" ht="42" customHeight="1" x14ac:dyDescent="0.25">
      <c r="A29" s="205"/>
      <c r="B29" s="215" t="s">
        <v>478</v>
      </c>
      <c r="C29" s="59"/>
      <c r="D29" s="59"/>
      <c r="E29" s="59">
        <v>13500000</v>
      </c>
      <c r="F29" s="59">
        <f t="shared" ref="F29:G31" si="10">J29+N29+R29+V29+Z29+AD29+AH29+AL29+AP29+AT29+AX29+BB29</f>
        <v>2346758.7200000002</v>
      </c>
      <c r="G29" s="59">
        <f t="shared" si="10"/>
        <v>2271271.5100000002</v>
      </c>
      <c r="H29" s="202">
        <f>L29+P29+T29+X29</f>
        <v>10876</v>
      </c>
      <c r="I29" s="202">
        <f>M29+Q29+U29+Y29</f>
        <v>9485</v>
      </c>
      <c r="J29" s="59">
        <v>157286.20000000001</v>
      </c>
      <c r="K29" s="210">
        <v>95257.1</v>
      </c>
      <c r="L29" s="202">
        <v>1776</v>
      </c>
      <c r="M29" s="202"/>
      <c r="N29" s="59">
        <v>194055.37000000002</v>
      </c>
      <c r="O29" s="210">
        <v>198979.89</v>
      </c>
      <c r="P29" s="202">
        <v>2828</v>
      </c>
      <c r="Q29" s="202">
        <v>2968</v>
      </c>
      <c r="R29" s="210">
        <v>156048.14000000001</v>
      </c>
      <c r="S29" s="59">
        <v>191719.32</v>
      </c>
      <c r="T29" s="202">
        <v>2752</v>
      </c>
      <c r="U29" s="202">
        <v>2838</v>
      </c>
      <c r="V29" s="59">
        <v>247746.46</v>
      </c>
      <c r="W29" s="59">
        <v>141434.26</v>
      </c>
      <c r="X29" s="202">
        <v>3520</v>
      </c>
      <c r="Y29" s="202">
        <v>3679</v>
      </c>
      <c r="Z29" s="65">
        <v>160899.4</v>
      </c>
      <c r="AA29" s="65">
        <v>180541.2</v>
      </c>
      <c r="AB29" s="202">
        <v>1791</v>
      </c>
      <c r="AC29" s="202">
        <v>1794</v>
      </c>
      <c r="AD29" s="65">
        <v>581286.17000000004</v>
      </c>
      <c r="AE29" s="65">
        <v>489774.37</v>
      </c>
      <c r="AF29" s="202">
        <v>6817</v>
      </c>
      <c r="AG29" s="202">
        <v>7315</v>
      </c>
      <c r="AH29" s="59">
        <v>170926.50999999995</v>
      </c>
      <c r="AI29" s="65">
        <f>911587.96-AI30</f>
        <v>231101.5</v>
      </c>
      <c r="AJ29" s="202"/>
      <c r="AK29" s="202"/>
      <c r="AL29" s="59">
        <v>416243.20000000001</v>
      </c>
      <c r="AM29" s="59">
        <v>468109.41</v>
      </c>
      <c r="AN29" s="202">
        <v>4153</v>
      </c>
      <c r="AO29" s="202">
        <v>4237</v>
      </c>
      <c r="AP29" s="59">
        <v>262267.27</v>
      </c>
      <c r="AQ29" s="59">
        <v>274354.46000000002</v>
      </c>
      <c r="AR29" s="202"/>
      <c r="AS29" s="202"/>
      <c r="AT29" s="59"/>
      <c r="AU29" s="59"/>
      <c r="AV29" s="202"/>
      <c r="AW29" s="202"/>
      <c r="AX29" s="59"/>
      <c r="AY29" s="59"/>
      <c r="AZ29" s="202"/>
      <c r="BA29" s="202"/>
      <c r="BB29" s="59"/>
      <c r="BC29" s="59"/>
      <c r="BD29" s="202"/>
      <c r="BE29" s="202"/>
      <c r="BF29" s="199"/>
    </row>
    <row r="30" spans="1:58" s="207" customFormat="1" ht="42" customHeight="1" x14ac:dyDescent="0.25">
      <c r="A30" s="205"/>
      <c r="B30" s="215" t="s">
        <v>479</v>
      </c>
      <c r="C30" s="59"/>
      <c r="D30" s="59"/>
      <c r="E30" s="59">
        <v>6000000</v>
      </c>
      <c r="F30" s="59">
        <f t="shared" si="10"/>
        <v>1536935.5</v>
      </c>
      <c r="G30" s="59">
        <f t="shared" si="10"/>
        <v>1536935.5</v>
      </c>
      <c r="H30" s="202"/>
      <c r="I30" s="202"/>
      <c r="J30" s="59"/>
      <c r="K30" s="210"/>
      <c r="L30" s="202"/>
      <c r="M30" s="202"/>
      <c r="N30" s="59"/>
      <c r="O30" s="210"/>
      <c r="P30" s="202"/>
      <c r="Q30" s="202"/>
      <c r="R30" s="210"/>
      <c r="S30" s="59"/>
      <c r="T30" s="202"/>
      <c r="U30" s="202"/>
      <c r="V30" s="59">
        <f>215940.11+422931.94</f>
        <v>638872.05000000005</v>
      </c>
      <c r="W30" s="59">
        <f>215940.11+422931.94</f>
        <v>638872.05000000005</v>
      </c>
      <c r="X30" s="202"/>
      <c r="Y30" s="202"/>
      <c r="Z30" s="65"/>
      <c r="AA30" s="65"/>
      <c r="AB30" s="202"/>
      <c r="AC30" s="202"/>
      <c r="AD30" s="65"/>
      <c r="AE30" s="65"/>
      <c r="AF30" s="202"/>
      <c r="AG30" s="202"/>
      <c r="AH30" s="65">
        <f>501602.46+178884</f>
        <v>680486.46</v>
      </c>
      <c r="AI30" s="65">
        <f>501602.46+178884</f>
        <v>680486.46</v>
      </c>
      <c r="AJ30" s="202"/>
      <c r="AK30" s="202"/>
      <c r="AL30" s="59"/>
      <c r="AM30" s="59"/>
      <c r="AN30" s="202"/>
      <c r="AO30" s="202"/>
      <c r="AP30" s="59">
        <v>217576.99</v>
      </c>
      <c r="AQ30" s="59">
        <v>217576.99</v>
      </c>
      <c r="AR30" s="202"/>
      <c r="AS30" s="202"/>
      <c r="AT30" s="59"/>
      <c r="AU30" s="59"/>
      <c r="AV30" s="202"/>
      <c r="AW30" s="202"/>
      <c r="AX30" s="59"/>
      <c r="AY30" s="59"/>
      <c r="AZ30" s="202"/>
      <c r="BA30" s="202"/>
      <c r="BB30" s="59"/>
      <c r="BC30" s="59"/>
      <c r="BD30" s="202"/>
      <c r="BE30" s="202"/>
      <c r="BF30" s="199"/>
    </row>
    <row r="31" spans="1:58" s="207" customFormat="1" ht="42" customHeight="1" x14ac:dyDescent="0.25">
      <c r="A31" s="205"/>
      <c r="B31" s="216" t="s">
        <v>480</v>
      </c>
      <c r="C31" s="59"/>
      <c r="D31" s="59"/>
      <c r="E31" s="59">
        <v>1120000</v>
      </c>
      <c r="F31" s="59">
        <f t="shared" si="10"/>
        <v>253376.22999999998</v>
      </c>
      <c r="G31" s="59">
        <f t="shared" si="10"/>
        <v>253376.22999999998</v>
      </c>
      <c r="H31" s="202"/>
      <c r="I31" s="202"/>
      <c r="J31" s="59">
        <v>12706.67</v>
      </c>
      <c r="K31" s="210">
        <v>12706.67</v>
      </c>
      <c r="L31" s="202"/>
      <c r="M31" s="202"/>
      <c r="N31" s="59">
        <v>19111.91</v>
      </c>
      <c r="O31" s="59">
        <f>400+1278.77+3000+3500+392+156.8+400+422.14+1274+156.8+421.4+2710+5000</f>
        <v>19111.909999999996</v>
      </c>
      <c r="P31" s="202"/>
      <c r="Q31" s="202"/>
      <c r="R31" s="59">
        <v>16352.93</v>
      </c>
      <c r="S31" s="59">
        <f>3500+3000+266+1378.3+408.8+1242.5+599+5958.33</f>
        <v>16352.93</v>
      </c>
      <c r="T31" s="202"/>
      <c r="U31" s="202"/>
      <c r="V31" s="59">
        <f>1552.6+3000+3500+665.96+597.6+1345.6+400+140.02+308+1259.3+400+1374.56+456.4+322+240+9800</f>
        <v>25362.04</v>
      </c>
      <c r="W31" s="59">
        <f>1552.6+3000+3500+665.96+597.6+1345.6+400+140.02+308+1259.3+400+1374.56+456.4+322+240+9800</f>
        <v>25362.04</v>
      </c>
      <c r="X31" s="202"/>
      <c r="Y31" s="202"/>
      <c r="Z31" s="65">
        <f>1263.5+3000+3500+1253+308+7363.64+160</f>
        <v>16848.14</v>
      </c>
      <c r="AA31" s="65">
        <f>1263.5+3000+3500+1253+308+7363.64+160</f>
        <v>16848.14</v>
      </c>
      <c r="AB31" s="202"/>
      <c r="AC31" s="202"/>
      <c r="AD31" s="65">
        <f>1255.1+312.2+3000+3500+2500+1253+341.6+161+400+550+1.5+12772.71</f>
        <v>26047.11</v>
      </c>
      <c r="AE31" s="65">
        <f>1255.1+312.2+3000+3500+2500+1253+341.6+161+400+550+1.5+12772.71</f>
        <v>26047.11</v>
      </c>
      <c r="AF31" s="202"/>
      <c r="AG31" s="202"/>
      <c r="AH31" s="65">
        <f>3000+3500+169.4+337.4+1253+341.6+1274+1625.72+455.74+400+1161.78+4647.11+2.6+730+110+4.5+20100+15550+22.96+168.79</f>
        <v>54854.6</v>
      </c>
      <c r="AI31" s="65">
        <f>3000+3500+169.4+337.4+1253+341.6+1274+1625.72+455.74+400+1161.78+4647.11+2.6+730+110+4.5+20100+15550+22.96+168.79</f>
        <v>54854.6</v>
      </c>
      <c r="AJ31" s="202"/>
      <c r="AK31" s="202"/>
      <c r="AL31" s="59">
        <v>49670.18</v>
      </c>
      <c r="AM31" s="59">
        <v>49670.18</v>
      </c>
      <c r="AN31" s="202"/>
      <c r="AO31" s="202"/>
      <c r="AP31" s="59">
        <v>32422.65</v>
      </c>
      <c r="AQ31" s="59">
        <v>32422.65</v>
      </c>
      <c r="AR31" s="202"/>
      <c r="AS31" s="202"/>
      <c r="AT31" s="59"/>
      <c r="AU31" s="59"/>
      <c r="AV31" s="202"/>
      <c r="AW31" s="202"/>
      <c r="AX31" s="59"/>
      <c r="AY31" s="59"/>
      <c r="AZ31" s="202"/>
      <c r="BA31" s="202"/>
      <c r="BB31" s="59"/>
      <c r="BC31" s="59"/>
      <c r="BD31" s="202"/>
      <c r="BE31" s="202"/>
      <c r="BF31" s="199"/>
    </row>
    <row r="32" spans="1:58" s="200" customFormat="1" ht="42" customHeight="1" x14ac:dyDescent="0.2">
      <c r="A32" s="194" t="s">
        <v>120</v>
      </c>
      <c r="B32" s="195" t="s">
        <v>307</v>
      </c>
      <c r="C32" s="196">
        <v>15000000</v>
      </c>
      <c r="D32" s="196">
        <v>15302500</v>
      </c>
      <c r="E32" s="196">
        <f>SUM(E33:E39)</f>
        <v>15302500</v>
      </c>
      <c r="F32" s="196">
        <f>SUM(F33:F39)</f>
        <v>12253229.76</v>
      </c>
      <c r="G32" s="196">
        <f t="shared" ref="G32:AS32" si="11">SUM(G33:G39)</f>
        <v>12062406.42</v>
      </c>
      <c r="H32" s="196">
        <f t="shared" si="11"/>
        <v>24972</v>
      </c>
      <c r="I32" s="196">
        <f t="shared" si="11"/>
        <v>382206</v>
      </c>
      <c r="J32" s="196">
        <f t="shared" si="11"/>
        <v>1357235.5</v>
      </c>
      <c r="K32" s="196">
        <f t="shared" si="11"/>
        <v>1139139.8199999998</v>
      </c>
      <c r="L32" s="196">
        <f t="shared" si="11"/>
        <v>13316</v>
      </c>
      <c r="M32" s="196">
        <f t="shared" si="11"/>
        <v>54896</v>
      </c>
      <c r="N32" s="196">
        <f t="shared" si="11"/>
        <v>1163024.17</v>
      </c>
      <c r="O32" s="196">
        <f t="shared" si="11"/>
        <v>1320175.69</v>
      </c>
      <c r="P32" s="196">
        <f t="shared" si="11"/>
        <v>11778</v>
      </c>
      <c r="Q32" s="196">
        <f t="shared" si="11"/>
        <v>45406</v>
      </c>
      <c r="R32" s="196">
        <f t="shared" si="11"/>
        <v>1440380</v>
      </c>
      <c r="S32" s="196">
        <f t="shared" si="11"/>
        <v>1499644.16</v>
      </c>
      <c r="T32" s="196">
        <f t="shared" si="11"/>
        <v>14937</v>
      </c>
      <c r="U32" s="196">
        <f t="shared" si="11"/>
        <v>52940</v>
      </c>
      <c r="V32" s="196">
        <f t="shared" si="11"/>
        <v>1375746.53</v>
      </c>
      <c r="W32" s="196">
        <f t="shared" si="11"/>
        <v>1347025.28</v>
      </c>
      <c r="X32" s="196">
        <f t="shared" si="11"/>
        <v>14848</v>
      </c>
      <c r="Y32" s="196">
        <f t="shared" si="11"/>
        <v>55518</v>
      </c>
      <c r="Z32" s="196">
        <f t="shared" si="11"/>
        <v>1342055.98</v>
      </c>
      <c r="AA32" s="196">
        <f t="shared" si="11"/>
        <v>1343782.81</v>
      </c>
      <c r="AB32" s="196">
        <f t="shared" si="11"/>
        <v>14379</v>
      </c>
      <c r="AC32" s="196">
        <f t="shared" si="11"/>
        <v>55169</v>
      </c>
      <c r="AD32" s="196">
        <f t="shared" si="11"/>
        <v>1365150.52</v>
      </c>
      <c r="AE32" s="196">
        <f t="shared" si="11"/>
        <v>1348201.1199999999</v>
      </c>
      <c r="AF32" s="196">
        <f t="shared" si="11"/>
        <v>14271</v>
      </c>
      <c r="AG32" s="196">
        <f t="shared" si="11"/>
        <v>57929</v>
      </c>
      <c r="AH32" s="196">
        <f t="shared" si="11"/>
        <v>1365350.2699999998</v>
      </c>
      <c r="AI32" s="196">
        <f t="shared" si="11"/>
        <v>1409294.09</v>
      </c>
      <c r="AJ32" s="196">
        <f t="shared" si="11"/>
        <v>12822</v>
      </c>
      <c r="AK32" s="196">
        <f t="shared" si="11"/>
        <v>55256</v>
      </c>
      <c r="AL32" s="196">
        <f t="shared" si="11"/>
        <v>1392715.07</v>
      </c>
      <c r="AM32" s="196">
        <f t="shared" si="11"/>
        <v>1392715.07</v>
      </c>
      <c r="AN32" s="196">
        <f t="shared" si="11"/>
        <v>9843</v>
      </c>
      <c r="AO32" s="196">
        <f t="shared" si="11"/>
        <v>53835</v>
      </c>
      <c r="AP32" s="196">
        <f t="shared" si="11"/>
        <v>1451571.72</v>
      </c>
      <c r="AQ32" s="196">
        <f t="shared" si="11"/>
        <v>1262428.3799999999</v>
      </c>
      <c r="AR32" s="196">
        <f t="shared" si="11"/>
        <v>11921</v>
      </c>
      <c r="AS32" s="196">
        <f t="shared" si="11"/>
        <v>57601</v>
      </c>
      <c r="AT32" s="196">
        <f t="shared" ref="AT32:BE32" si="12">SUM(AT33:AT39)</f>
        <v>0</v>
      </c>
      <c r="AU32" s="196">
        <f t="shared" si="12"/>
        <v>0</v>
      </c>
      <c r="AV32" s="198">
        <f t="shared" si="12"/>
        <v>0</v>
      </c>
      <c r="AW32" s="198">
        <f t="shared" si="12"/>
        <v>0</v>
      </c>
      <c r="AX32" s="196">
        <f t="shared" si="12"/>
        <v>0</v>
      </c>
      <c r="AY32" s="196">
        <f t="shared" si="12"/>
        <v>0</v>
      </c>
      <c r="AZ32" s="198">
        <f t="shared" si="12"/>
        <v>0</v>
      </c>
      <c r="BA32" s="198">
        <f t="shared" si="12"/>
        <v>0</v>
      </c>
      <c r="BB32" s="196">
        <f t="shared" si="12"/>
        <v>0</v>
      </c>
      <c r="BC32" s="196">
        <f t="shared" si="12"/>
        <v>0</v>
      </c>
      <c r="BD32" s="198">
        <f t="shared" si="12"/>
        <v>0</v>
      </c>
      <c r="BE32" s="198">
        <f t="shared" si="12"/>
        <v>0</v>
      </c>
      <c r="BF32" s="199"/>
    </row>
    <row r="33" spans="1:58" s="207" customFormat="1" ht="42" customHeight="1" x14ac:dyDescent="0.25">
      <c r="A33" s="205"/>
      <c r="B33" s="63" t="s">
        <v>360</v>
      </c>
      <c r="C33" s="59"/>
      <c r="D33" s="59"/>
      <c r="E33" s="59">
        <v>2865300</v>
      </c>
      <c r="F33" s="59">
        <f t="shared" ref="F33:G39" si="13">J33+N33+R33+V33+Z33+AD33+AH33+AL33+AP33+AT33+AX33+BB33</f>
        <v>2148966</v>
      </c>
      <c r="G33" s="59">
        <f t="shared" si="13"/>
        <v>2148966</v>
      </c>
      <c r="H33" s="202">
        <v>20323</v>
      </c>
      <c r="I33" s="202">
        <v>88435</v>
      </c>
      <c r="J33" s="59">
        <v>238774</v>
      </c>
      <c r="K33" s="59">
        <v>169938</v>
      </c>
      <c r="L33" s="202">
        <v>11273</v>
      </c>
      <c r="M33" s="202">
        <v>12066</v>
      </c>
      <c r="N33" s="59">
        <v>238774</v>
      </c>
      <c r="O33" s="59">
        <v>282070</v>
      </c>
      <c r="P33" s="202">
        <v>10128</v>
      </c>
      <c r="Q33" s="202">
        <v>10803</v>
      </c>
      <c r="R33" s="59">
        <v>238774</v>
      </c>
      <c r="S33" s="59">
        <v>264314</v>
      </c>
      <c r="T33" s="202">
        <v>13035</v>
      </c>
      <c r="U33" s="202">
        <v>13914</v>
      </c>
      <c r="V33" s="59">
        <v>238774</v>
      </c>
      <c r="W33" s="59">
        <v>238774</v>
      </c>
      <c r="X33" s="202">
        <v>12868</v>
      </c>
      <c r="Y33" s="202">
        <v>13657</v>
      </c>
      <c r="Z33" s="65">
        <v>238774</v>
      </c>
      <c r="AA33" s="65">
        <v>238774</v>
      </c>
      <c r="AB33" s="202">
        <v>12424</v>
      </c>
      <c r="AC33" s="202">
        <v>13200</v>
      </c>
      <c r="AD33" s="65">
        <v>238774</v>
      </c>
      <c r="AE33" s="65">
        <v>238774</v>
      </c>
      <c r="AF33" s="202">
        <v>12339</v>
      </c>
      <c r="AG33" s="202">
        <v>13114</v>
      </c>
      <c r="AH33" s="59">
        <v>238774</v>
      </c>
      <c r="AI33" s="65">
        <v>238774</v>
      </c>
      <c r="AJ33" s="202">
        <v>10843</v>
      </c>
      <c r="AK33" s="202">
        <v>11681</v>
      </c>
      <c r="AL33" s="59">
        <v>238774</v>
      </c>
      <c r="AM33" s="59">
        <v>238774</v>
      </c>
      <c r="AN33" s="202">
        <v>7743</v>
      </c>
      <c r="AO33" s="202">
        <v>8281</v>
      </c>
      <c r="AP33" s="59">
        <v>238774</v>
      </c>
      <c r="AQ33" s="59">
        <v>238774</v>
      </c>
      <c r="AR33" s="202">
        <v>9851</v>
      </c>
      <c r="AS33" s="202">
        <v>10528</v>
      </c>
      <c r="AT33" s="59"/>
      <c r="AU33" s="59"/>
      <c r="AV33" s="202"/>
      <c r="AW33" s="202"/>
      <c r="AX33" s="59"/>
      <c r="AY33" s="59"/>
      <c r="AZ33" s="202"/>
      <c r="BA33" s="202"/>
      <c r="BB33" s="59"/>
      <c r="BC33" s="59"/>
      <c r="BD33" s="202"/>
      <c r="BE33" s="202"/>
      <c r="BF33" s="199"/>
    </row>
    <row r="34" spans="1:58" s="207" customFormat="1" ht="42" customHeight="1" x14ac:dyDescent="0.25">
      <c r="A34" s="205"/>
      <c r="B34" s="63" t="s">
        <v>361</v>
      </c>
      <c r="C34" s="59"/>
      <c r="D34" s="59"/>
      <c r="E34" s="59">
        <v>70100</v>
      </c>
      <c r="F34" s="59">
        <f t="shared" si="13"/>
        <v>52578</v>
      </c>
      <c r="G34" s="59">
        <f t="shared" si="13"/>
        <v>52578</v>
      </c>
      <c r="H34" s="202">
        <v>77</v>
      </c>
      <c r="I34" s="202">
        <v>1269</v>
      </c>
      <c r="J34" s="59">
        <v>5842</v>
      </c>
      <c r="K34" s="59">
        <v>5842</v>
      </c>
      <c r="L34" s="202">
        <v>65</v>
      </c>
      <c r="M34" s="202">
        <v>194</v>
      </c>
      <c r="N34" s="59">
        <v>5842</v>
      </c>
      <c r="O34" s="59">
        <v>5842</v>
      </c>
      <c r="P34" s="202">
        <v>65</v>
      </c>
      <c r="Q34" s="202">
        <v>191</v>
      </c>
      <c r="R34" s="59">
        <v>5842</v>
      </c>
      <c r="S34" s="59">
        <v>5842</v>
      </c>
      <c r="T34" s="202">
        <v>64</v>
      </c>
      <c r="U34" s="202">
        <v>189</v>
      </c>
      <c r="V34" s="59">
        <v>5842</v>
      </c>
      <c r="W34" s="59">
        <v>5842</v>
      </c>
      <c r="X34" s="202">
        <v>62</v>
      </c>
      <c r="Y34" s="202">
        <v>185</v>
      </c>
      <c r="Z34" s="65">
        <v>5842</v>
      </c>
      <c r="AA34" s="65">
        <v>5842</v>
      </c>
      <c r="AB34" s="202">
        <v>60</v>
      </c>
      <c r="AC34" s="202">
        <v>181</v>
      </c>
      <c r="AD34" s="65">
        <v>5842</v>
      </c>
      <c r="AE34" s="65">
        <v>5842</v>
      </c>
      <c r="AF34" s="202">
        <v>58</v>
      </c>
      <c r="AG34" s="202">
        <v>165</v>
      </c>
      <c r="AH34" s="59">
        <v>5842</v>
      </c>
      <c r="AI34" s="65">
        <v>5842</v>
      </c>
      <c r="AJ34" s="202">
        <v>59</v>
      </c>
      <c r="AK34" s="202">
        <v>164</v>
      </c>
      <c r="AL34" s="59">
        <v>5842</v>
      </c>
      <c r="AM34" s="59">
        <v>5842</v>
      </c>
      <c r="AN34" s="202">
        <v>59</v>
      </c>
      <c r="AO34" s="202">
        <v>164</v>
      </c>
      <c r="AP34" s="59">
        <v>5842</v>
      </c>
      <c r="AQ34" s="59">
        <v>5842</v>
      </c>
      <c r="AR34" s="202">
        <v>56</v>
      </c>
      <c r="AS34" s="202">
        <v>157</v>
      </c>
      <c r="AT34" s="59"/>
      <c r="AU34" s="59"/>
      <c r="AV34" s="202"/>
      <c r="AW34" s="202"/>
      <c r="AX34" s="59"/>
      <c r="AY34" s="59"/>
      <c r="AZ34" s="202"/>
      <c r="BA34" s="202"/>
      <c r="BB34" s="59"/>
      <c r="BC34" s="59"/>
      <c r="BD34" s="202"/>
      <c r="BE34" s="202"/>
      <c r="BF34" s="199"/>
    </row>
    <row r="35" spans="1:58" s="207" customFormat="1" ht="42" customHeight="1" x14ac:dyDescent="0.25">
      <c r="A35" s="205"/>
      <c r="B35" s="63" t="s">
        <v>362</v>
      </c>
      <c r="C35" s="59"/>
      <c r="D35" s="59"/>
      <c r="E35" s="59">
        <v>151000</v>
      </c>
      <c r="F35" s="59">
        <f t="shared" si="13"/>
        <v>102220.90000000001</v>
      </c>
      <c r="G35" s="59">
        <f t="shared" si="13"/>
        <v>102220.90000000001</v>
      </c>
      <c r="H35" s="202">
        <v>234</v>
      </c>
      <c r="I35" s="202">
        <v>1375</v>
      </c>
      <c r="J35" s="59">
        <v>12582</v>
      </c>
      <c r="K35" s="59">
        <v>12582</v>
      </c>
      <c r="L35" s="202">
        <v>54</v>
      </c>
      <c r="M35" s="202">
        <v>329</v>
      </c>
      <c r="N35" s="59">
        <v>12582</v>
      </c>
      <c r="O35" s="59">
        <v>12582</v>
      </c>
      <c r="P35" s="202">
        <v>27</v>
      </c>
      <c r="Q35" s="202">
        <v>163</v>
      </c>
      <c r="R35" s="59">
        <v>12582</v>
      </c>
      <c r="S35" s="59">
        <v>12582</v>
      </c>
      <c r="T35" s="202">
        <v>27</v>
      </c>
      <c r="U35" s="202">
        <v>172</v>
      </c>
      <c r="V35" s="59">
        <v>11580.9</v>
      </c>
      <c r="W35" s="59">
        <v>11580.9</v>
      </c>
      <c r="X35" s="202">
        <v>34</v>
      </c>
      <c r="Y35" s="202">
        <v>194</v>
      </c>
      <c r="Z35" s="65">
        <v>10578.8</v>
      </c>
      <c r="AA35" s="65">
        <v>10578.8</v>
      </c>
      <c r="AB35" s="202">
        <v>40</v>
      </c>
      <c r="AC35" s="202">
        <v>212</v>
      </c>
      <c r="AD35" s="65">
        <v>10578.8</v>
      </c>
      <c r="AE35" s="65">
        <v>10578.8</v>
      </c>
      <c r="AF35" s="202">
        <v>40</v>
      </c>
      <c r="AG35" s="202">
        <v>223</v>
      </c>
      <c r="AH35" s="59">
        <v>10578.8</v>
      </c>
      <c r="AI35" s="65">
        <v>10578.8</v>
      </c>
      <c r="AJ35" s="202">
        <v>40</v>
      </c>
      <c r="AK35" s="202">
        <v>245</v>
      </c>
      <c r="AL35" s="59">
        <v>10578.8</v>
      </c>
      <c r="AM35" s="59">
        <v>10578.8</v>
      </c>
      <c r="AN35" s="202">
        <v>40</v>
      </c>
      <c r="AO35" s="202">
        <v>257</v>
      </c>
      <c r="AP35" s="59">
        <v>10578.8</v>
      </c>
      <c r="AQ35" s="59">
        <v>10578.8</v>
      </c>
      <c r="AR35" s="202">
        <v>40</v>
      </c>
      <c r="AS35" s="202">
        <v>230</v>
      </c>
      <c r="AT35" s="59"/>
      <c r="AU35" s="59"/>
      <c r="AV35" s="202"/>
      <c r="AW35" s="202"/>
      <c r="AX35" s="59"/>
      <c r="AY35" s="59"/>
      <c r="AZ35" s="202"/>
      <c r="BA35" s="202"/>
      <c r="BB35" s="59"/>
      <c r="BC35" s="59"/>
      <c r="BD35" s="202"/>
      <c r="BE35" s="202"/>
      <c r="BF35" s="199"/>
    </row>
    <row r="36" spans="1:58" s="207" customFormat="1" ht="42" customHeight="1" x14ac:dyDescent="0.25">
      <c r="A36" s="205"/>
      <c r="B36" s="63" t="s">
        <v>363</v>
      </c>
      <c r="C36" s="59"/>
      <c r="D36" s="59"/>
      <c r="E36" s="59">
        <v>662300</v>
      </c>
      <c r="F36" s="59">
        <f t="shared" si="13"/>
        <v>496710</v>
      </c>
      <c r="G36" s="59">
        <f t="shared" si="13"/>
        <v>496710</v>
      </c>
      <c r="H36" s="202">
        <v>363</v>
      </c>
      <c r="I36" s="202">
        <v>1558</v>
      </c>
      <c r="J36" s="59">
        <v>55190</v>
      </c>
      <c r="K36" s="59">
        <v>44480</v>
      </c>
      <c r="L36" s="202">
        <v>117</v>
      </c>
      <c r="M36" s="202">
        <v>230</v>
      </c>
      <c r="N36" s="59">
        <v>55190</v>
      </c>
      <c r="O36" s="59">
        <v>65900</v>
      </c>
      <c r="P36" s="202">
        <v>101</v>
      </c>
      <c r="Q36" s="202">
        <v>198</v>
      </c>
      <c r="R36" s="59">
        <v>55190</v>
      </c>
      <c r="S36" s="59">
        <v>55190</v>
      </c>
      <c r="T36" s="202">
        <v>112</v>
      </c>
      <c r="U36" s="202">
        <v>226</v>
      </c>
      <c r="V36" s="59">
        <v>55190</v>
      </c>
      <c r="W36" s="59">
        <v>55190</v>
      </c>
      <c r="X36" s="202">
        <v>119</v>
      </c>
      <c r="Y36" s="202">
        <v>270</v>
      </c>
      <c r="Z36" s="65">
        <v>55190</v>
      </c>
      <c r="AA36" s="65">
        <v>55190</v>
      </c>
      <c r="AB36" s="202">
        <v>105</v>
      </c>
      <c r="AC36" s="202">
        <v>219</v>
      </c>
      <c r="AD36" s="65">
        <v>55190</v>
      </c>
      <c r="AE36" s="65">
        <v>55190</v>
      </c>
      <c r="AF36" s="202">
        <v>87</v>
      </c>
      <c r="AG36" s="202">
        <v>196</v>
      </c>
      <c r="AH36" s="59">
        <v>55190</v>
      </c>
      <c r="AI36" s="65">
        <v>55190</v>
      </c>
      <c r="AJ36" s="202">
        <v>97</v>
      </c>
      <c r="AK36" s="202">
        <v>219</v>
      </c>
      <c r="AL36" s="59">
        <v>55190</v>
      </c>
      <c r="AM36" s="59">
        <v>55190</v>
      </c>
      <c r="AN36" s="202">
        <v>101</v>
      </c>
      <c r="AO36" s="202">
        <v>256</v>
      </c>
      <c r="AP36" s="59">
        <v>55190</v>
      </c>
      <c r="AQ36" s="59">
        <v>55190</v>
      </c>
      <c r="AR36" s="202">
        <v>112</v>
      </c>
      <c r="AS36" s="202">
        <v>251</v>
      </c>
      <c r="AT36" s="59"/>
      <c r="AU36" s="59"/>
      <c r="AV36" s="202"/>
      <c r="AW36" s="202"/>
      <c r="AX36" s="59"/>
      <c r="AY36" s="59"/>
      <c r="AZ36" s="202"/>
      <c r="BA36" s="202"/>
      <c r="BB36" s="59"/>
      <c r="BC36" s="59"/>
      <c r="BD36" s="202"/>
      <c r="BE36" s="202"/>
      <c r="BF36" s="199"/>
    </row>
    <row r="37" spans="1:58" s="207" customFormat="1" ht="42" customHeight="1" x14ac:dyDescent="0.25">
      <c r="A37" s="205"/>
      <c r="B37" s="63" t="s">
        <v>481</v>
      </c>
      <c r="C37" s="59"/>
      <c r="D37" s="59"/>
      <c r="E37" s="59">
        <v>232200</v>
      </c>
      <c r="F37" s="59">
        <f t="shared" si="13"/>
        <v>174150</v>
      </c>
      <c r="G37" s="59">
        <f t="shared" si="13"/>
        <v>174150</v>
      </c>
      <c r="H37" s="202"/>
      <c r="I37" s="202"/>
      <c r="J37" s="59">
        <v>19350</v>
      </c>
      <c r="K37" s="59">
        <v>19350</v>
      </c>
      <c r="L37" s="202"/>
      <c r="M37" s="202"/>
      <c r="N37" s="59">
        <v>19350</v>
      </c>
      <c r="O37" s="59">
        <v>19350</v>
      </c>
      <c r="P37" s="202"/>
      <c r="Q37" s="202"/>
      <c r="R37" s="59">
        <v>19350</v>
      </c>
      <c r="S37" s="59">
        <v>19350</v>
      </c>
      <c r="T37" s="202"/>
      <c r="U37" s="202"/>
      <c r="V37" s="59">
        <v>19350</v>
      </c>
      <c r="W37" s="59">
        <v>19350</v>
      </c>
      <c r="X37" s="202"/>
      <c r="Y37" s="202"/>
      <c r="Z37" s="65">
        <v>19350</v>
      </c>
      <c r="AA37" s="65">
        <v>19350</v>
      </c>
      <c r="AB37" s="202"/>
      <c r="AC37" s="202"/>
      <c r="AD37" s="65">
        <v>19350</v>
      </c>
      <c r="AE37" s="65">
        <v>19350</v>
      </c>
      <c r="AF37" s="202"/>
      <c r="AG37" s="202"/>
      <c r="AH37" s="59">
        <v>19350</v>
      </c>
      <c r="AI37" s="65">
        <v>19350</v>
      </c>
      <c r="AJ37" s="202"/>
      <c r="AK37" s="202"/>
      <c r="AL37" s="59">
        <v>19350</v>
      </c>
      <c r="AM37" s="59">
        <v>19350</v>
      </c>
      <c r="AN37" s="202">
        <v>103</v>
      </c>
      <c r="AO37" s="202">
        <v>149</v>
      </c>
      <c r="AP37" s="59">
        <v>19350</v>
      </c>
      <c r="AQ37" s="59">
        <v>19350</v>
      </c>
      <c r="AR37" s="202"/>
      <c r="AS37" s="202"/>
      <c r="AT37" s="59"/>
      <c r="AU37" s="59"/>
      <c r="AV37" s="202"/>
      <c r="AW37" s="202"/>
      <c r="AX37" s="59"/>
      <c r="AY37" s="59"/>
      <c r="AZ37" s="202"/>
      <c r="BA37" s="202"/>
      <c r="BB37" s="59"/>
      <c r="BC37" s="59"/>
      <c r="BD37" s="202"/>
      <c r="BE37" s="202"/>
      <c r="BF37" s="199"/>
    </row>
    <row r="38" spans="1:58" s="207" customFormat="1" ht="42" customHeight="1" x14ac:dyDescent="0.25">
      <c r="A38" s="205"/>
      <c r="B38" s="63" t="s">
        <v>364</v>
      </c>
      <c r="C38" s="59"/>
      <c r="D38" s="59"/>
      <c r="E38" s="59">
        <v>10781600</v>
      </c>
      <c r="F38" s="59">
        <f t="shared" si="13"/>
        <v>8872539.8599999994</v>
      </c>
      <c r="G38" s="59">
        <f t="shared" si="13"/>
        <v>8682556.5199999996</v>
      </c>
      <c r="H38" s="202">
        <v>3869</v>
      </c>
      <c r="I38" s="202">
        <v>268627</v>
      </c>
      <c r="J38" s="59">
        <v>979657.50000000012</v>
      </c>
      <c r="K38" s="59">
        <v>886947.82</v>
      </c>
      <c r="L38" s="202">
        <v>1707</v>
      </c>
      <c r="M38" s="202">
        <v>39021</v>
      </c>
      <c r="N38" s="59">
        <v>786286.16999999993</v>
      </c>
      <c r="O38" s="59">
        <v>844431.69</v>
      </c>
      <c r="P38" s="202">
        <v>1358</v>
      </c>
      <c r="Q38" s="202">
        <v>31036</v>
      </c>
      <c r="R38" s="59">
        <v>1065907</v>
      </c>
      <c r="S38" s="59">
        <v>1099631.1599999999</v>
      </c>
      <c r="T38" s="202">
        <v>1598</v>
      </c>
      <c r="U38" s="202">
        <v>35590</v>
      </c>
      <c r="V38" s="59">
        <v>998869.63</v>
      </c>
      <c r="W38" s="59">
        <v>970148.38</v>
      </c>
      <c r="X38" s="202">
        <v>1665</v>
      </c>
      <c r="Y38" s="202">
        <v>38136</v>
      </c>
      <c r="Z38" s="65">
        <v>968281.18</v>
      </c>
      <c r="AA38" s="65">
        <v>970008.01</v>
      </c>
      <c r="AB38" s="202">
        <v>1651</v>
      </c>
      <c r="AC38" s="202">
        <v>38421</v>
      </c>
      <c r="AD38" s="65">
        <v>989695.72</v>
      </c>
      <c r="AE38" s="65">
        <v>972746.32</v>
      </c>
      <c r="AF38" s="202">
        <v>1647</v>
      </c>
      <c r="AG38" s="202">
        <v>41183</v>
      </c>
      <c r="AH38" s="59">
        <v>991185.46999999986</v>
      </c>
      <c r="AI38" s="65">
        <v>1035129.29</v>
      </c>
      <c r="AJ38" s="202">
        <v>1683</v>
      </c>
      <c r="AK38" s="202">
        <v>39985</v>
      </c>
      <c r="AL38" s="59">
        <v>1016810.27</v>
      </c>
      <c r="AM38" s="59">
        <v>1016810.27</v>
      </c>
      <c r="AN38" s="202">
        <v>1697</v>
      </c>
      <c r="AO38" s="202">
        <v>41650</v>
      </c>
      <c r="AP38" s="59">
        <v>1075846.92</v>
      </c>
      <c r="AQ38" s="59">
        <v>886703.58</v>
      </c>
      <c r="AR38" s="202">
        <v>1762</v>
      </c>
      <c r="AS38" s="202">
        <v>43369</v>
      </c>
      <c r="AT38" s="59"/>
      <c r="AU38" s="59"/>
      <c r="AV38" s="202"/>
      <c r="AW38" s="202"/>
      <c r="AX38" s="59"/>
      <c r="AY38" s="59"/>
      <c r="AZ38" s="202"/>
      <c r="BA38" s="202"/>
      <c r="BB38" s="59"/>
      <c r="BC38" s="59"/>
      <c r="BD38" s="202"/>
      <c r="BE38" s="202"/>
      <c r="BF38" s="199"/>
    </row>
    <row r="39" spans="1:58" s="207" customFormat="1" ht="42" customHeight="1" x14ac:dyDescent="0.25">
      <c r="A39" s="217"/>
      <c r="B39" s="63" t="s">
        <v>365</v>
      </c>
      <c r="C39" s="60"/>
      <c r="D39" s="60"/>
      <c r="E39" s="59">
        <v>540000</v>
      </c>
      <c r="F39" s="59">
        <f t="shared" si="13"/>
        <v>406065</v>
      </c>
      <c r="G39" s="59">
        <f t="shared" si="13"/>
        <v>405225</v>
      </c>
      <c r="H39" s="202">
        <v>106</v>
      </c>
      <c r="I39" s="202">
        <v>20942</v>
      </c>
      <c r="J39" s="59">
        <v>45840</v>
      </c>
      <c r="K39" s="59">
        <v>0</v>
      </c>
      <c r="L39" s="202">
        <v>100</v>
      </c>
      <c r="M39" s="202">
        <v>3056</v>
      </c>
      <c r="N39" s="59">
        <v>45000</v>
      </c>
      <c r="O39" s="59">
        <v>90000</v>
      </c>
      <c r="P39" s="202">
        <v>99</v>
      </c>
      <c r="Q39" s="202">
        <v>3015</v>
      </c>
      <c r="R39" s="59">
        <v>42735</v>
      </c>
      <c r="S39" s="59">
        <v>42735</v>
      </c>
      <c r="T39" s="202">
        <v>101</v>
      </c>
      <c r="U39" s="202">
        <v>2849</v>
      </c>
      <c r="V39" s="59">
        <v>46140</v>
      </c>
      <c r="W39" s="59">
        <v>46140</v>
      </c>
      <c r="X39" s="202">
        <v>100</v>
      </c>
      <c r="Y39" s="202">
        <v>3076</v>
      </c>
      <c r="Z39" s="65">
        <v>44040</v>
      </c>
      <c r="AA39" s="65">
        <v>44040</v>
      </c>
      <c r="AB39" s="202">
        <v>99</v>
      </c>
      <c r="AC39" s="202">
        <v>2936</v>
      </c>
      <c r="AD39" s="65">
        <v>45720</v>
      </c>
      <c r="AE39" s="65">
        <v>45720</v>
      </c>
      <c r="AF39" s="202">
        <v>100</v>
      </c>
      <c r="AG39" s="202">
        <v>3048</v>
      </c>
      <c r="AH39" s="59">
        <v>44430</v>
      </c>
      <c r="AI39" s="65">
        <v>44430</v>
      </c>
      <c r="AJ39" s="202">
        <v>100</v>
      </c>
      <c r="AK39" s="202">
        <v>2962</v>
      </c>
      <c r="AL39" s="59">
        <v>46170</v>
      </c>
      <c r="AM39" s="59">
        <v>46170</v>
      </c>
      <c r="AN39" s="202">
        <v>100</v>
      </c>
      <c r="AO39" s="202">
        <v>3078</v>
      </c>
      <c r="AP39" s="59">
        <v>45990</v>
      </c>
      <c r="AQ39" s="59">
        <v>45990</v>
      </c>
      <c r="AR39" s="202">
        <v>100</v>
      </c>
      <c r="AS39" s="202">
        <v>3066</v>
      </c>
      <c r="AT39" s="59"/>
      <c r="AU39" s="59"/>
      <c r="AV39" s="202"/>
      <c r="AW39" s="202"/>
      <c r="AX39" s="59"/>
      <c r="AY39" s="59"/>
      <c r="AZ39" s="202"/>
      <c r="BA39" s="202"/>
      <c r="BB39" s="59"/>
      <c r="BC39" s="59"/>
      <c r="BD39" s="202"/>
      <c r="BE39" s="202"/>
      <c r="BF39" s="199"/>
    </row>
    <row r="40" spans="1:58" s="200" customFormat="1" ht="47.25" customHeight="1" x14ac:dyDescent="0.2">
      <c r="A40" s="194" t="s">
        <v>366</v>
      </c>
      <c r="B40" s="195" t="s">
        <v>130</v>
      </c>
      <c r="C40" s="196">
        <v>8100000</v>
      </c>
      <c r="D40" s="196">
        <v>8100000</v>
      </c>
      <c r="E40" s="196">
        <f>SUM(E41:E45)</f>
        <v>8100000</v>
      </c>
      <c r="F40" s="196">
        <f>SUM(F41:F45)</f>
        <v>7398365.9499999993</v>
      </c>
      <c r="G40" s="196">
        <f t="shared" ref="G40:AS40" si="14">SUM(G41:G45)</f>
        <v>7396539.9499999993</v>
      </c>
      <c r="H40" s="196">
        <f t="shared" si="14"/>
        <v>4203</v>
      </c>
      <c r="I40" s="196">
        <f t="shared" si="14"/>
        <v>8972</v>
      </c>
      <c r="J40" s="196">
        <f t="shared" si="14"/>
        <v>165694.6</v>
      </c>
      <c r="K40" s="196">
        <f t="shared" si="14"/>
        <v>165118.59999999998</v>
      </c>
      <c r="L40" s="196">
        <f t="shared" si="14"/>
        <v>1341</v>
      </c>
      <c r="M40" s="196">
        <f t="shared" si="14"/>
        <v>2116</v>
      </c>
      <c r="N40" s="196">
        <f t="shared" si="14"/>
        <v>1226803.4099999999</v>
      </c>
      <c r="O40" s="196">
        <f t="shared" si="14"/>
        <v>1224211.99</v>
      </c>
      <c r="P40" s="196">
        <f t="shared" si="14"/>
        <v>1100</v>
      </c>
      <c r="Q40" s="196">
        <f t="shared" si="14"/>
        <v>1101</v>
      </c>
      <c r="R40" s="196">
        <f t="shared" si="14"/>
        <v>486501.8</v>
      </c>
      <c r="S40" s="196">
        <f t="shared" si="14"/>
        <v>483693.22</v>
      </c>
      <c r="T40" s="196">
        <f t="shared" si="14"/>
        <v>1245</v>
      </c>
      <c r="U40" s="196">
        <f t="shared" si="14"/>
        <v>1245</v>
      </c>
      <c r="V40" s="196">
        <f t="shared" si="14"/>
        <v>1502751.18</v>
      </c>
      <c r="W40" s="196">
        <f t="shared" si="14"/>
        <v>1499899.18</v>
      </c>
      <c r="X40" s="196">
        <f t="shared" si="14"/>
        <v>1368</v>
      </c>
      <c r="Y40" s="196">
        <f t="shared" si="14"/>
        <v>1368</v>
      </c>
      <c r="Z40" s="196">
        <f t="shared" si="14"/>
        <v>1142420.1100000001</v>
      </c>
      <c r="AA40" s="196">
        <f t="shared" si="14"/>
        <v>1133066.81</v>
      </c>
      <c r="AB40" s="196">
        <f t="shared" si="14"/>
        <v>1390</v>
      </c>
      <c r="AC40" s="196">
        <f t="shared" si="14"/>
        <v>1390</v>
      </c>
      <c r="AD40" s="196">
        <f t="shared" si="14"/>
        <v>940592.70000000007</v>
      </c>
      <c r="AE40" s="196">
        <f t="shared" si="14"/>
        <v>958486</v>
      </c>
      <c r="AF40" s="196">
        <f t="shared" si="14"/>
        <v>1260</v>
      </c>
      <c r="AG40" s="196">
        <f t="shared" si="14"/>
        <v>1261</v>
      </c>
      <c r="AH40" s="196">
        <f t="shared" si="14"/>
        <v>526332.03</v>
      </c>
      <c r="AI40" s="196">
        <f t="shared" si="14"/>
        <v>525084.03</v>
      </c>
      <c r="AJ40" s="196">
        <f t="shared" si="14"/>
        <v>1308</v>
      </c>
      <c r="AK40" s="196">
        <f t="shared" si="14"/>
        <v>1308</v>
      </c>
      <c r="AL40" s="196">
        <f t="shared" si="14"/>
        <v>464704.06999999995</v>
      </c>
      <c r="AM40" s="196">
        <f t="shared" si="14"/>
        <v>459338.56999999995</v>
      </c>
      <c r="AN40" s="196">
        <f t="shared" si="14"/>
        <v>1335</v>
      </c>
      <c r="AO40" s="196">
        <f t="shared" si="14"/>
        <v>1335</v>
      </c>
      <c r="AP40" s="196">
        <f t="shared" si="14"/>
        <v>942566.05</v>
      </c>
      <c r="AQ40" s="196">
        <f t="shared" si="14"/>
        <v>947641.55</v>
      </c>
      <c r="AR40" s="196">
        <f t="shared" si="14"/>
        <v>1132</v>
      </c>
      <c r="AS40" s="196">
        <f t="shared" si="14"/>
        <v>1132</v>
      </c>
      <c r="AT40" s="196">
        <f t="shared" ref="AT40:BE40" si="15">SUM(AT41:AT45)</f>
        <v>0</v>
      </c>
      <c r="AU40" s="196">
        <f t="shared" si="15"/>
        <v>0</v>
      </c>
      <c r="AV40" s="198">
        <f t="shared" si="15"/>
        <v>0</v>
      </c>
      <c r="AW40" s="198">
        <f t="shared" si="15"/>
        <v>0</v>
      </c>
      <c r="AX40" s="196">
        <f t="shared" si="15"/>
        <v>0</v>
      </c>
      <c r="AY40" s="196">
        <f t="shared" si="15"/>
        <v>0</v>
      </c>
      <c r="AZ40" s="198">
        <f t="shared" si="15"/>
        <v>0</v>
      </c>
      <c r="BA40" s="198">
        <f t="shared" si="15"/>
        <v>0</v>
      </c>
      <c r="BB40" s="196">
        <f t="shared" si="15"/>
        <v>0</v>
      </c>
      <c r="BC40" s="196">
        <f t="shared" si="15"/>
        <v>0</v>
      </c>
      <c r="BD40" s="198">
        <f t="shared" si="15"/>
        <v>0</v>
      </c>
      <c r="BE40" s="198">
        <f t="shared" si="15"/>
        <v>0</v>
      </c>
      <c r="BF40" s="199"/>
    </row>
    <row r="41" spans="1:58" s="207" customFormat="1" ht="45.75" customHeight="1" x14ac:dyDescent="0.25">
      <c r="A41" s="218"/>
      <c r="B41" s="61" t="s">
        <v>131</v>
      </c>
      <c r="C41" s="59"/>
      <c r="D41" s="59"/>
      <c r="E41" s="59">
        <v>759000</v>
      </c>
      <c r="F41" s="59">
        <f t="shared" ref="F41:G45" si="16">J41+N41+R41+V41+Z41+AD41+AH41+AL41+AP41+AT41+AX41+BB41</f>
        <v>680914.40999999992</v>
      </c>
      <c r="G41" s="59">
        <f t="shared" si="16"/>
        <v>680914.40999999992</v>
      </c>
      <c r="H41" s="202">
        <v>850</v>
      </c>
      <c r="I41" s="202">
        <v>5614</v>
      </c>
      <c r="J41" s="59">
        <v>73187.400000000009</v>
      </c>
      <c r="K41" s="59">
        <v>73187.399999999994</v>
      </c>
      <c r="L41" s="202">
        <v>795</v>
      </c>
      <c r="M41" s="202">
        <v>1568</v>
      </c>
      <c r="N41" s="59">
        <v>74303.459999999992</v>
      </c>
      <c r="O41" s="59">
        <v>73938.039999999994</v>
      </c>
      <c r="P41" s="202">
        <v>792</v>
      </c>
      <c r="Q41" s="202">
        <v>792</v>
      </c>
      <c r="R41" s="59">
        <v>74594.850000000006</v>
      </c>
      <c r="S41" s="59">
        <v>74960.27</v>
      </c>
      <c r="T41" s="202">
        <v>795</v>
      </c>
      <c r="U41" s="202">
        <v>795</v>
      </c>
      <c r="V41" s="59">
        <v>75157.83</v>
      </c>
      <c r="W41" s="59">
        <v>75157.83</v>
      </c>
      <c r="X41" s="202">
        <v>801</v>
      </c>
      <c r="Y41" s="202">
        <v>801</v>
      </c>
      <c r="Z41" s="65">
        <v>76189.960000000006</v>
      </c>
      <c r="AA41" s="65">
        <v>76189.960000000006</v>
      </c>
      <c r="AB41" s="202">
        <v>812</v>
      </c>
      <c r="AC41" s="202">
        <v>812</v>
      </c>
      <c r="AD41" s="65">
        <v>76283.789999999994</v>
      </c>
      <c r="AE41" s="65">
        <v>76283.789999999994</v>
      </c>
      <c r="AF41" s="202">
        <v>813</v>
      </c>
      <c r="AG41" s="202">
        <v>813</v>
      </c>
      <c r="AH41" s="59">
        <v>77034.429999999993</v>
      </c>
      <c r="AI41" s="65">
        <v>77034.429999999993</v>
      </c>
      <c r="AJ41" s="202">
        <v>821</v>
      </c>
      <c r="AK41" s="202">
        <v>821</v>
      </c>
      <c r="AL41" s="59">
        <v>77222.09</v>
      </c>
      <c r="AM41" s="59">
        <v>77222.09</v>
      </c>
      <c r="AN41" s="202">
        <v>823</v>
      </c>
      <c r="AO41" s="202">
        <v>823</v>
      </c>
      <c r="AP41" s="59">
        <v>76940.600000000006</v>
      </c>
      <c r="AQ41" s="59">
        <v>76940.600000000006</v>
      </c>
      <c r="AR41" s="202">
        <v>826</v>
      </c>
      <c r="AS41" s="202">
        <v>826</v>
      </c>
      <c r="AT41" s="59"/>
      <c r="AU41" s="59"/>
      <c r="AV41" s="202"/>
      <c r="AW41" s="202"/>
      <c r="AX41" s="59"/>
      <c r="AY41" s="59"/>
      <c r="AZ41" s="202"/>
      <c r="BA41" s="202"/>
      <c r="BB41" s="59"/>
      <c r="BC41" s="59"/>
      <c r="BD41" s="202"/>
      <c r="BE41" s="202"/>
      <c r="BF41" s="199"/>
    </row>
    <row r="42" spans="1:58" s="207" customFormat="1" ht="45.75" customHeight="1" x14ac:dyDescent="0.25">
      <c r="A42" s="218"/>
      <c r="B42" s="61" t="s">
        <v>315</v>
      </c>
      <c r="C42" s="59"/>
      <c r="D42" s="59"/>
      <c r="E42" s="59">
        <v>794000</v>
      </c>
      <c r="F42" s="59">
        <f t="shared" si="16"/>
        <v>658532.65</v>
      </c>
      <c r="G42" s="59">
        <f t="shared" si="16"/>
        <v>656706.65</v>
      </c>
      <c r="H42" s="202">
        <v>3353</v>
      </c>
      <c r="I42" s="202">
        <v>3358</v>
      </c>
      <c r="J42" s="59">
        <v>75507.199999999997</v>
      </c>
      <c r="K42" s="59">
        <v>74931.199999999997</v>
      </c>
      <c r="L42" s="202">
        <v>546</v>
      </c>
      <c r="M42" s="202">
        <v>548</v>
      </c>
      <c r="N42" s="59">
        <v>50626.3</v>
      </c>
      <c r="O42" s="59">
        <v>48400.3</v>
      </c>
      <c r="P42" s="202">
        <v>308</v>
      </c>
      <c r="Q42" s="202">
        <v>309</v>
      </c>
      <c r="R42" s="59">
        <v>69320.7</v>
      </c>
      <c r="S42" s="59">
        <v>66146.7</v>
      </c>
      <c r="T42" s="202">
        <v>450</v>
      </c>
      <c r="U42" s="202">
        <v>450</v>
      </c>
      <c r="V42" s="59">
        <v>98809.7</v>
      </c>
      <c r="W42" s="59">
        <v>95957.7</v>
      </c>
      <c r="X42" s="202">
        <v>567</v>
      </c>
      <c r="Y42" s="202">
        <v>567</v>
      </c>
      <c r="Z42" s="65">
        <v>88898.85</v>
      </c>
      <c r="AA42" s="65">
        <v>79545.55</v>
      </c>
      <c r="AB42" s="202">
        <v>578</v>
      </c>
      <c r="AC42" s="202">
        <v>578</v>
      </c>
      <c r="AD42" s="65">
        <v>65773.7</v>
      </c>
      <c r="AE42" s="65">
        <v>83667</v>
      </c>
      <c r="AF42" s="202">
        <v>447</v>
      </c>
      <c r="AG42" s="202">
        <v>448</v>
      </c>
      <c r="AH42" s="59">
        <v>81357.099999999991</v>
      </c>
      <c r="AI42" s="65">
        <v>80109.100000000006</v>
      </c>
      <c r="AJ42" s="202">
        <v>487</v>
      </c>
      <c r="AK42" s="202">
        <v>487</v>
      </c>
      <c r="AL42" s="59">
        <v>79806.5</v>
      </c>
      <c r="AM42" s="59">
        <v>74441</v>
      </c>
      <c r="AN42" s="202">
        <v>512</v>
      </c>
      <c r="AO42" s="202">
        <v>512</v>
      </c>
      <c r="AP42" s="59">
        <v>48432.6</v>
      </c>
      <c r="AQ42" s="59">
        <v>53508.1</v>
      </c>
      <c r="AR42" s="202">
        <v>306</v>
      </c>
      <c r="AS42" s="202">
        <v>306</v>
      </c>
      <c r="AT42" s="59"/>
      <c r="AU42" s="59"/>
      <c r="AV42" s="202"/>
      <c r="AW42" s="202"/>
      <c r="AX42" s="59"/>
      <c r="AY42" s="59"/>
      <c r="AZ42" s="202"/>
      <c r="BA42" s="202"/>
      <c r="BB42" s="59"/>
      <c r="BC42" s="59"/>
      <c r="BD42" s="202"/>
      <c r="BE42" s="202"/>
      <c r="BF42" s="199"/>
    </row>
    <row r="43" spans="1:58" s="207" customFormat="1" ht="95.25" customHeight="1" x14ac:dyDescent="0.25">
      <c r="A43" s="218"/>
      <c r="B43" s="63" t="s">
        <v>367</v>
      </c>
      <c r="C43" s="59"/>
      <c r="D43" s="59"/>
      <c r="E43" s="59">
        <v>6050200</v>
      </c>
      <c r="F43" s="59">
        <f t="shared" si="16"/>
        <v>5810918.8899999987</v>
      </c>
      <c r="G43" s="59">
        <f t="shared" si="16"/>
        <v>5810918.8899999987</v>
      </c>
      <c r="H43" s="202"/>
      <c r="I43" s="202"/>
      <c r="J43" s="59"/>
      <c r="K43" s="59"/>
      <c r="L43" s="202"/>
      <c r="M43" s="59"/>
      <c r="N43" s="59">
        <v>1056373.6499999999</v>
      </c>
      <c r="O43" s="59">
        <f>248060+299156.89+509156.76</f>
        <v>1056373.6499999999</v>
      </c>
      <c r="P43" s="202"/>
      <c r="Q43" s="202"/>
      <c r="R43" s="59">
        <v>325586.25</v>
      </c>
      <c r="S43" s="59">
        <f>325586.25</f>
        <v>325586.25</v>
      </c>
      <c r="T43" s="202"/>
      <c r="U43" s="202"/>
      <c r="V43" s="59">
        <f>305180.37+968603.28</f>
        <v>1273783.6499999999</v>
      </c>
      <c r="W43" s="59">
        <f>305180.37+968603.28</f>
        <v>1273783.6499999999</v>
      </c>
      <c r="X43" s="202"/>
      <c r="Y43" s="202"/>
      <c r="Z43" s="65">
        <f>719355+240976.3</f>
        <v>960331.3</v>
      </c>
      <c r="AA43" s="65">
        <f>719355+240976.3</f>
        <v>960331.3</v>
      </c>
      <c r="AB43" s="202"/>
      <c r="AC43" s="202"/>
      <c r="AD43" s="65">
        <f>13551.81+767983.4</f>
        <v>781535.21000000008</v>
      </c>
      <c r="AE43" s="65">
        <f>13551.81+767983.4</f>
        <v>781535.21000000008</v>
      </c>
      <c r="AF43" s="202"/>
      <c r="AG43" s="202"/>
      <c r="AH43" s="65">
        <f>49465.21+121297.21+75708.33+104469.75</f>
        <v>350940.5</v>
      </c>
      <c r="AI43" s="65">
        <f>49465.21+121297.21+75708.33+104469.75</f>
        <v>350940.5</v>
      </c>
      <c r="AJ43" s="202"/>
      <c r="AK43" s="202"/>
      <c r="AL43" s="59">
        <v>290675.48</v>
      </c>
      <c r="AM43" s="59">
        <v>290675.48</v>
      </c>
      <c r="AN43" s="202"/>
      <c r="AO43" s="202"/>
      <c r="AP43" s="59">
        <v>771692.85000000009</v>
      </c>
      <c r="AQ43" s="59">
        <v>771692.85000000009</v>
      </c>
      <c r="AR43" s="202"/>
      <c r="AS43" s="202"/>
      <c r="AT43" s="59"/>
      <c r="AU43" s="59"/>
      <c r="AV43" s="202"/>
      <c r="AW43" s="202"/>
      <c r="AX43" s="59"/>
      <c r="AY43" s="59"/>
      <c r="AZ43" s="202"/>
      <c r="BA43" s="202"/>
      <c r="BB43" s="59"/>
      <c r="BC43" s="59"/>
      <c r="BD43" s="202"/>
      <c r="BE43" s="202"/>
      <c r="BF43" s="199"/>
    </row>
    <row r="44" spans="1:58" s="207" customFormat="1" ht="78" customHeight="1" x14ac:dyDescent="0.25">
      <c r="A44" s="218"/>
      <c r="B44" s="63" t="s">
        <v>368</v>
      </c>
      <c r="C44" s="59"/>
      <c r="D44" s="59"/>
      <c r="E44" s="59">
        <v>251800</v>
      </c>
      <c r="F44" s="59">
        <f t="shared" si="16"/>
        <v>95000</v>
      </c>
      <c r="G44" s="59">
        <f t="shared" si="16"/>
        <v>95000</v>
      </c>
      <c r="H44" s="202"/>
      <c r="I44" s="202"/>
      <c r="J44" s="59"/>
      <c r="K44" s="59"/>
      <c r="L44" s="202"/>
      <c r="M44" s="202"/>
      <c r="N44" s="59">
        <v>28500</v>
      </c>
      <c r="O44" s="59">
        <v>28500</v>
      </c>
      <c r="P44" s="202"/>
      <c r="Q44" s="202"/>
      <c r="R44" s="59"/>
      <c r="S44" s="59"/>
      <c r="T44" s="202"/>
      <c r="U44" s="202"/>
      <c r="V44" s="59">
        <v>38000</v>
      </c>
      <c r="W44" s="59">
        <v>38000</v>
      </c>
      <c r="X44" s="202"/>
      <c r="Y44" s="202"/>
      <c r="Z44" s="65"/>
      <c r="AA44" s="65"/>
      <c r="AB44" s="202"/>
      <c r="AC44" s="202"/>
      <c r="AD44" s="65"/>
      <c r="AE44" s="65"/>
      <c r="AF44" s="202"/>
      <c r="AG44" s="202"/>
      <c r="AH44" s="65"/>
      <c r="AI44" s="65"/>
      <c r="AJ44" s="202"/>
      <c r="AK44" s="202"/>
      <c r="AL44" s="59"/>
      <c r="AM44" s="59"/>
      <c r="AN44" s="202"/>
      <c r="AO44" s="202"/>
      <c r="AP44" s="59">
        <v>28500</v>
      </c>
      <c r="AQ44" s="59">
        <v>28500</v>
      </c>
      <c r="AR44" s="202"/>
      <c r="AS44" s="202"/>
      <c r="AT44" s="59"/>
      <c r="AU44" s="59"/>
      <c r="AV44" s="202"/>
      <c r="AW44" s="202"/>
      <c r="AX44" s="59"/>
      <c r="AY44" s="59"/>
      <c r="AZ44" s="202"/>
      <c r="BA44" s="202"/>
      <c r="BB44" s="59"/>
      <c r="BC44" s="59"/>
      <c r="BD44" s="202"/>
      <c r="BE44" s="202"/>
      <c r="BF44" s="199"/>
    </row>
    <row r="45" spans="1:58" s="207" customFormat="1" ht="95.25" customHeight="1" x14ac:dyDescent="0.25">
      <c r="A45" s="218"/>
      <c r="B45" s="63" t="s">
        <v>369</v>
      </c>
      <c r="C45" s="59"/>
      <c r="D45" s="59"/>
      <c r="E45" s="59">
        <v>245000</v>
      </c>
      <c r="F45" s="59">
        <f t="shared" si="16"/>
        <v>153000</v>
      </c>
      <c r="G45" s="59">
        <f t="shared" si="16"/>
        <v>153000</v>
      </c>
      <c r="H45" s="202"/>
      <c r="I45" s="202"/>
      <c r="J45" s="210">
        <v>17000</v>
      </c>
      <c r="K45" s="210">
        <v>17000</v>
      </c>
      <c r="L45" s="202"/>
      <c r="M45" s="202"/>
      <c r="N45" s="210">
        <v>17000</v>
      </c>
      <c r="O45" s="210">
        <v>17000</v>
      </c>
      <c r="P45" s="202"/>
      <c r="Q45" s="202"/>
      <c r="R45" s="210">
        <v>17000</v>
      </c>
      <c r="S45" s="210">
        <v>17000</v>
      </c>
      <c r="T45" s="202"/>
      <c r="U45" s="202"/>
      <c r="V45" s="210">
        <f>8500+8500</f>
        <v>17000</v>
      </c>
      <c r="W45" s="210">
        <f>8500+8500</f>
        <v>17000</v>
      </c>
      <c r="X45" s="202"/>
      <c r="Y45" s="202"/>
      <c r="Z45" s="211">
        <v>17000</v>
      </c>
      <c r="AA45" s="211">
        <v>17000</v>
      </c>
      <c r="AB45" s="202"/>
      <c r="AC45" s="202"/>
      <c r="AD45" s="211">
        <v>17000</v>
      </c>
      <c r="AE45" s="211">
        <v>17000</v>
      </c>
      <c r="AF45" s="202"/>
      <c r="AG45" s="202"/>
      <c r="AH45" s="211">
        <v>17000</v>
      </c>
      <c r="AI45" s="211">
        <v>17000</v>
      </c>
      <c r="AJ45" s="202"/>
      <c r="AK45" s="202"/>
      <c r="AL45" s="210">
        <v>17000</v>
      </c>
      <c r="AM45" s="210">
        <v>17000</v>
      </c>
      <c r="AN45" s="202"/>
      <c r="AO45" s="202"/>
      <c r="AP45" s="210">
        <v>17000</v>
      </c>
      <c r="AQ45" s="210">
        <v>17000</v>
      </c>
      <c r="AR45" s="202"/>
      <c r="AS45" s="202"/>
      <c r="AT45" s="210"/>
      <c r="AU45" s="210"/>
      <c r="AV45" s="202"/>
      <c r="AW45" s="202"/>
      <c r="AX45" s="210"/>
      <c r="AY45" s="210"/>
      <c r="AZ45" s="202"/>
      <c r="BA45" s="202"/>
      <c r="BB45" s="210"/>
      <c r="BC45" s="210"/>
      <c r="BD45" s="202"/>
      <c r="BE45" s="202"/>
      <c r="BF45" s="199"/>
    </row>
    <row r="46" spans="1:58" s="220" customFormat="1" ht="42" customHeight="1" x14ac:dyDescent="0.25">
      <c r="A46" s="194" t="s">
        <v>145</v>
      </c>
      <c r="B46" s="195" t="s">
        <v>146</v>
      </c>
      <c r="C46" s="196">
        <v>2000000</v>
      </c>
      <c r="D46" s="196">
        <v>1697500</v>
      </c>
      <c r="E46" s="219">
        <f>E47</f>
        <v>1697500</v>
      </c>
      <c r="F46" s="219">
        <f>F47</f>
        <v>1197094.28</v>
      </c>
      <c r="G46" s="219">
        <f t="shared" ref="G46:AS46" si="17">G47</f>
        <v>1197094.28</v>
      </c>
      <c r="H46" s="219">
        <f t="shared" si="17"/>
        <v>105</v>
      </c>
      <c r="I46" s="219">
        <f t="shared" si="17"/>
        <v>8667</v>
      </c>
      <c r="J46" s="219">
        <f t="shared" si="17"/>
        <v>106166.66</v>
      </c>
      <c r="K46" s="219">
        <f t="shared" si="17"/>
        <v>106166.66</v>
      </c>
      <c r="L46" s="219">
        <f t="shared" si="17"/>
        <v>63</v>
      </c>
      <c r="M46" s="219">
        <f t="shared" si="17"/>
        <v>1551</v>
      </c>
      <c r="N46" s="219">
        <f t="shared" si="17"/>
        <v>106166.65</v>
      </c>
      <c r="O46" s="219">
        <f t="shared" si="17"/>
        <v>106166.65</v>
      </c>
      <c r="P46" s="219">
        <f t="shared" si="17"/>
        <v>53</v>
      </c>
      <c r="Q46" s="219">
        <f t="shared" si="17"/>
        <v>1367</v>
      </c>
      <c r="R46" s="219">
        <f t="shared" si="17"/>
        <v>105954.32</v>
      </c>
      <c r="S46" s="219">
        <f t="shared" si="17"/>
        <v>105954.32</v>
      </c>
      <c r="T46" s="219">
        <f t="shared" si="17"/>
        <v>55</v>
      </c>
      <c r="U46" s="219">
        <f t="shared" si="17"/>
        <v>959</v>
      </c>
      <c r="V46" s="219">
        <f t="shared" si="17"/>
        <v>106166.65</v>
      </c>
      <c r="W46" s="219">
        <f t="shared" si="17"/>
        <v>106166.65</v>
      </c>
      <c r="X46" s="219">
        <f t="shared" si="17"/>
        <v>57</v>
      </c>
      <c r="Y46" s="219">
        <f t="shared" si="17"/>
        <v>1589</v>
      </c>
      <c r="Z46" s="219">
        <f t="shared" si="17"/>
        <v>0</v>
      </c>
      <c r="AA46" s="219">
        <f t="shared" si="17"/>
        <v>0</v>
      </c>
      <c r="AB46" s="219">
        <f t="shared" si="17"/>
        <v>0</v>
      </c>
      <c r="AC46" s="219">
        <f t="shared" si="17"/>
        <v>0</v>
      </c>
      <c r="AD46" s="219">
        <f t="shared" si="17"/>
        <v>272625.74</v>
      </c>
      <c r="AE46" s="219">
        <f t="shared" si="17"/>
        <v>272625.74</v>
      </c>
      <c r="AF46" s="219">
        <f t="shared" si="17"/>
        <v>58</v>
      </c>
      <c r="AG46" s="219">
        <f t="shared" si="17"/>
        <v>1395</v>
      </c>
      <c r="AH46" s="219">
        <f t="shared" si="17"/>
        <v>166671.42000000001</v>
      </c>
      <c r="AI46" s="219">
        <f t="shared" si="17"/>
        <v>166671.42000000001</v>
      </c>
      <c r="AJ46" s="219">
        <f t="shared" si="17"/>
        <v>57</v>
      </c>
      <c r="AK46" s="219">
        <f t="shared" si="17"/>
        <v>823</v>
      </c>
      <c r="AL46" s="219">
        <f t="shared" si="17"/>
        <v>166671.42000000001</v>
      </c>
      <c r="AM46" s="219">
        <f t="shared" si="17"/>
        <v>166671.42000000001</v>
      </c>
      <c r="AN46" s="219">
        <f t="shared" si="17"/>
        <v>60</v>
      </c>
      <c r="AO46" s="219">
        <f t="shared" si="17"/>
        <v>2167</v>
      </c>
      <c r="AP46" s="219">
        <f t="shared" si="17"/>
        <v>166671.42000000001</v>
      </c>
      <c r="AQ46" s="219">
        <f t="shared" si="17"/>
        <v>166671.42000000001</v>
      </c>
      <c r="AR46" s="219">
        <f t="shared" si="17"/>
        <v>58</v>
      </c>
      <c r="AS46" s="219">
        <f t="shared" si="17"/>
        <v>1218</v>
      </c>
      <c r="AT46" s="219">
        <f t="shared" ref="AT46:BE46" si="18">SUM(AT47:AT47)</f>
        <v>0</v>
      </c>
      <c r="AU46" s="219">
        <f t="shared" si="18"/>
        <v>0</v>
      </c>
      <c r="AV46" s="198">
        <f t="shared" si="18"/>
        <v>0</v>
      </c>
      <c r="AW46" s="198">
        <f t="shared" si="18"/>
        <v>0</v>
      </c>
      <c r="AX46" s="219">
        <f t="shared" si="18"/>
        <v>0</v>
      </c>
      <c r="AY46" s="219">
        <f t="shared" si="18"/>
        <v>0</v>
      </c>
      <c r="AZ46" s="198">
        <f t="shared" si="18"/>
        <v>0</v>
      </c>
      <c r="BA46" s="198">
        <f t="shared" si="18"/>
        <v>0</v>
      </c>
      <c r="BB46" s="219">
        <f t="shared" si="18"/>
        <v>0</v>
      </c>
      <c r="BC46" s="219">
        <f t="shared" si="18"/>
        <v>0</v>
      </c>
      <c r="BD46" s="198">
        <f t="shared" si="18"/>
        <v>0</v>
      </c>
      <c r="BE46" s="198">
        <f t="shared" si="18"/>
        <v>0</v>
      </c>
      <c r="BF46" s="199"/>
    </row>
    <row r="47" spans="1:58" s="220" customFormat="1" ht="42" customHeight="1" x14ac:dyDescent="0.25">
      <c r="A47" s="187"/>
      <c r="B47" s="61" t="s">
        <v>147</v>
      </c>
      <c r="C47" s="59"/>
      <c r="D47" s="59"/>
      <c r="E47" s="59">
        <v>1697500</v>
      </c>
      <c r="F47" s="59">
        <f>J47+N47+R47+V47+Z47+AD47+AH47+AL47+AP47+AT47+AX47+BB47</f>
        <v>1197094.28</v>
      </c>
      <c r="G47" s="59">
        <f>K47+O47+S47+W47+AA47+AE47+AI47+AM47+AQ47+AU47+AY47+BC47</f>
        <v>1197094.28</v>
      </c>
      <c r="H47" s="202">
        <v>105</v>
      </c>
      <c r="I47" s="202">
        <v>8667</v>
      </c>
      <c r="J47" s="59">
        <v>106166.66</v>
      </c>
      <c r="K47" s="59">
        <v>106166.66</v>
      </c>
      <c r="L47" s="202">
        <v>63</v>
      </c>
      <c r="M47" s="202">
        <v>1551</v>
      </c>
      <c r="N47" s="59">
        <v>106166.65</v>
      </c>
      <c r="O47" s="59">
        <v>106166.65</v>
      </c>
      <c r="P47" s="202">
        <v>53</v>
      </c>
      <c r="Q47" s="202">
        <v>1367</v>
      </c>
      <c r="R47" s="59">
        <v>105954.32</v>
      </c>
      <c r="S47" s="59">
        <v>105954.32</v>
      </c>
      <c r="T47" s="202">
        <v>55</v>
      </c>
      <c r="U47" s="202">
        <v>959</v>
      </c>
      <c r="V47" s="59">
        <v>106166.65</v>
      </c>
      <c r="W47" s="59">
        <v>106166.65</v>
      </c>
      <c r="X47" s="202">
        <v>57</v>
      </c>
      <c r="Y47" s="202">
        <v>1589</v>
      </c>
      <c r="Z47" s="65">
        <v>0</v>
      </c>
      <c r="AA47" s="65">
        <v>0</v>
      </c>
      <c r="AB47" s="65">
        <v>0</v>
      </c>
      <c r="AC47" s="65">
        <v>0</v>
      </c>
      <c r="AD47" s="65">
        <v>272625.74</v>
      </c>
      <c r="AE47" s="65">
        <v>272625.74</v>
      </c>
      <c r="AF47" s="65">
        <v>58</v>
      </c>
      <c r="AG47" s="65">
        <v>1395</v>
      </c>
      <c r="AH47" s="59">
        <v>166671.42000000001</v>
      </c>
      <c r="AI47" s="65">
        <v>166671.42000000001</v>
      </c>
      <c r="AJ47" s="202">
        <v>57</v>
      </c>
      <c r="AK47" s="202">
        <v>823</v>
      </c>
      <c r="AL47" s="59">
        <v>166671.42000000001</v>
      </c>
      <c r="AM47" s="59">
        <v>166671.42000000001</v>
      </c>
      <c r="AN47" s="202">
        <v>60</v>
      </c>
      <c r="AO47" s="202">
        <v>2167</v>
      </c>
      <c r="AP47" s="59">
        <v>166671.42000000001</v>
      </c>
      <c r="AQ47" s="59">
        <v>166671.42000000001</v>
      </c>
      <c r="AR47" s="202">
        <v>58</v>
      </c>
      <c r="AS47" s="202">
        <v>1218</v>
      </c>
      <c r="AT47" s="59"/>
      <c r="AU47" s="59"/>
      <c r="AV47" s="202"/>
      <c r="AW47" s="202"/>
      <c r="AX47" s="59"/>
      <c r="AY47" s="59"/>
      <c r="AZ47" s="202"/>
      <c r="BA47" s="202"/>
      <c r="BB47" s="59"/>
      <c r="BC47" s="59"/>
      <c r="BD47" s="202"/>
      <c r="BE47" s="202"/>
      <c r="BF47" s="199"/>
    </row>
    <row r="48" spans="1:58" s="220" customFormat="1" ht="42" customHeight="1" x14ac:dyDescent="0.25">
      <c r="A48" s="194" t="s">
        <v>370</v>
      </c>
      <c r="B48" s="195" t="s">
        <v>149</v>
      </c>
      <c r="C48" s="196">
        <v>32000000</v>
      </c>
      <c r="D48" s="196">
        <v>32000000</v>
      </c>
      <c r="E48" s="219">
        <f>SUM(E49:E55)</f>
        <v>32000000</v>
      </c>
      <c r="F48" s="219">
        <f>SUM(F49:F55)</f>
        <v>21889559.030000001</v>
      </c>
      <c r="G48" s="219">
        <f t="shared" ref="G48:BE48" si="19">SUM(G49:G55)</f>
        <v>21822639.090000004</v>
      </c>
      <c r="H48" s="219">
        <f t="shared" si="19"/>
        <v>2591</v>
      </c>
      <c r="I48" s="219">
        <f t="shared" si="19"/>
        <v>186557</v>
      </c>
      <c r="J48" s="219">
        <f t="shared" si="19"/>
        <v>2459091.33</v>
      </c>
      <c r="K48" s="219">
        <f t="shared" si="19"/>
        <v>2186672.69</v>
      </c>
      <c r="L48" s="219">
        <f t="shared" si="19"/>
        <v>2159</v>
      </c>
      <c r="M48" s="219">
        <f t="shared" si="19"/>
        <v>32368</v>
      </c>
      <c r="N48" s="219">
        <f t="shared" si="19"/>
        <v>1473643.29</v>
      </c>
      <c r="O48" s="219">
        <f t="shared" si="19"/>
        <v>1546881.99</v>
      </c>
      <c r="P48" s="219">
        <f t="shared" si="19"/>
        <v>2219</v>
      </c>
      <c r="Q48" s="219">
        <f t="shared" si="19"/>
        <v>26334</v>
      </c>
      <c r="R48" s="219">
        <f t="shared" si="19"/>
        <v>2485614.4900000002</v>
      </c>
      <c r="S48" s="219">
        <f t="shared" si="19"/>
        <v>2684794.4899999998</v>
      </c>
      <c r="T48" s="219">
        <f t="shared" si="19"/>
        <v>2244</v>
      </c>
      <c r="U48" s="219">
        <f t="shared" si="19"/>
        <v>26185</v>
      </c>
      <c r="V48" s="219">
        <f t="shared" si="19"/>
        <v>2473764.19</v>
      </c>
      <c r="W48" s="219">
        <f t="shared" si="19"/>
        <v>2469041.5</v>
      </c>
      <c r="X48" s="219">
        <f t="shared" si="19"/>
        <v>2234</v>
      </c>
      <c r="Y48" s="219">
        <f t="shared" si="19"/>
        <v>27309</v>
      </c>
      <c r="Z48" s="219">
        <f t="shared" si="19"/>
        <v>2504073.37</v>
      </c>
      <c r="AA48" s="219">
        <f t="shared" si="19"/>
        <v>2375356.06</v>
      </c>
      <c r="AB48" s="219">
        <f t="shared" si="19"/>
        <v>2315</v>
      </c>
      <c r="AC48" s="219">
        <f t="shared" si="19"/>
        <v>27176</v>
      </c>
      <c r="AD48" s="219">
        <f t="shared" si="19"/>
        <v>2633110.5699999998</v>
      </c>
      <c r="AE48" s="219">
        <f t="shared" si="19"/>
        <v>2533950.5699999998</v>
      </c>
      <c r="AF48" s="219">
        <f t="shared" si="19"/>
        <v>2318</v>
      </c>
      <c r="AG48" s="219">
        <f t="shared" si="19"/>
        <v>27366</v>
      </c>
      <c r="AH48" s="219">
        <f t="shared" si="19"/>
        <v>2670301.3699999996</v>
      </c>
      <c r="AI48" s="219">
        <f t="shared" si="19"/>
        <v>2902901.3699999996</v>
      </c>
      <c r="AJ48" s="219">
        <f t="shared" si="19"/>
        <v>2267</v>
      </c>
      <c r="AK48" s="219">
        <f t="shared" si="19"/>
        <v>26581</v>
      </c>
      <c r="AL48" s="219">
        <f t="shared" si="19"/>
        <v>2440048.5199999996</v>
      </c>
      <c r="AM48" s="219">
        <f t="shared" si="19"/>
        <v>2371681.6799999997</v>
      </c>
      <c r="AN48" s="219">
        <f t="shared" si="19"/>
        <v>2270</v>
      </c>
      <c r="AO48" s="219">
        <f t="shared" si="19"/>
        <v>26735</v>
      </c>
      <c r="AP48" s="219">
        <f t="shared" si="19"/>
        <v>2749911.9</v>
      </c>
      <c r="AQ48" s="219">
        <f t="shared" si="19"/>
        <v>2751358.7399999998</v>
      </c>
      <c r="AR48" s="219">
        <f t="shared" si="19"/>
        <v>2286</v>
      </c>
      <c r="AS48" s="219">
        <f t="shared" si="19"/>
        <v>27637</v>
      </c>
      <c r="AT48" s="219">
        <f t="shared" si="19"/>
        <v>0</v>
      </c>
      <c r="AU48" s="219">
        <f t="shared" si="19"/>
        <v>0</v>
      </c>
      <c r="AV48" s="198">
        <f t="shared" si="19"/>
        <v>0</v>
      </c>
      <c r="AW48" s="198">
        <f t="shared" si="19"/>
        <v>0</v>
      </c>
      <c r="AX48" s="219">
        <f t="shared" si="19"/>
        <v>0</v>
      </c>
      <c r="AY48" s="219">
        <f t="shared" si="19"/>
        <v>0</v>
      </c>
      <c r="AZ48" s="198">
        <f t="shared" si="19"/>
        <v>0</v>
      </c>
      <c r="BA48" s="198">
        <f t="shared" si="19"/>
        <v>0</v>
      </c>
      <c r="BB48" s="219">
        <f t="shared" si="19"/>
        <v>0</v>
      </c>
      <c r="BC48" s="219">
        <f t="shared" si="19"/>
        <v>0</v>
      </c>
      <c r="BD48" s="198">
        <f t="shared" si="19"/>
        <v>0</v>
      </c>
      <c r="BE48" s="198">
        <f t="shared" si="19"/>
        <v>0</v>
      </c>
      <c r="BF48" s="199"/>
    </row>
    <row r="49" spans="1:58" s="220" customFormat="1" ht="42" customHeight="1" x14ac:dyDescent="0.25">
      <c r="A49" s="187"/>
      <c r="B49" s="221" t="s">
        <v>151</v>
      </c>
      <c r="C49" s="59"/>
      <c r="D49" s="59"/>
      <c r="E49" s="59">
        <v>12100000</v>
      </c>
      <c r="F49" s="59">
        <f>J49+N49+R49+V49+Z49+AD49+AH49+AL49+AP49+AT49+AX49+BB49</f>
        <v>9759800</v>
      </c>
      <c r="G49" s="59">
        <f>K49+O49+S49+W49+AA49+AE49+AI49+AM49+AQ49+AU49+AY49+BC49</f>
        <v>9692880.0600000005</v>
      </c>
      <c r="H49" s="202">
        <v>2467</v>
      </c>
      <c r="I49" s="202">
        <v>185893</v>
      </c>
      <c r="J49" s="59">
        <v>1079600</v>
      </c>
      <c r="K49" s="59">
        <v>807520.06</v>
      </c>
      <c r="L49" s="202">
        <v>2032</v>
      </c>
      <c r="M49" s="202">
        <v>32241</v>
      </c>
      <c r="N49" s="59">
        <v>1047880</v>
      </c>
      <c r="O49" s="59">
        <v>1135880</v>
      </c>
      <c r="P49" s="202">
        <v>2093</v>
      </c>
      <c r="Q49" s="202">
        <v>26208</v>
      </c>
      <c r="R49" s="59">
        <v>1041840</v>
      </c>
      <c r="S49" s="59">
        <v>1225920</v>
      </c>
      <c r="T49" s="202">
        <v>2114</v>
      </c>
      <c r="U49" s="202">
        <v>26055</v>
      </c>
      <c r="V49" s="59">
        <v>1084520</v>
      </c>
      <c r="W49" s="59">
        <v>1084520</v>
      </c>
      <c r="X49" s="202">
        <v>2132</v>
      </c>
      <c r="Y49" s="202">
        <v>27207</v>
      </c>
      <c r="Z49" s="65">
        <v>1080080</v>
      </c>
      <c r="AA49" s="65">
        <v>946640</v>
      </c>
      <c r="AB49" s="202">
        <v>2153</v>
      </c>
      <c r="AC49" s="202">
        <v>27013</v>
      </c>
      <c r="AD49" s="65">
        <v>1088840</v>
      </c>
      <c r="AE49" s="65">
        <v>989680</v>
      </c>
      <c r="AF49" s="202">
        <v>2176</v>
      </c>
      <c r="AG49" s="202">
        <v>27224</v>
      </c>
      <c r="AH49" s="59">
        <v>1092000</v>
      </c>
      <c r="AI49" s="65">
        <v>1324600</v>
      </c>
      <c r="AJ49" s="202">
        <v>2110</v>
      </c>
      <c r="AK49" s="202">
        <v>26423</v>
      </c>
      <c r="AL49" s="65">
        <v>1102720</v>
      </c>
      <c r="AM49" s="65">
        <v>1063520</v>
      </c>
      <c r="AN49" s="202">
        <v>2127</v>
      </c>
      <c r="AO49" s="202">
        <v>26592</v>
      </c>
      <c r="AP49" s="59">
        <v>1142320</v>
      </c>
      <c r="AQ49" s="59">
        <v>1114600</v>
      </c>
      <c r="AR49" s="202">
        <v>2147</v>
      </c>
      <c r="AS49" s="202">
        <v>27498</v>
      </c>
      <c r="AT49" s="59"/>
      <c r="AU49" s="59"/>
      <c r="AV49" s="202"/>
      <c r="AW49" s="202"/>
      <c r="AX49" s="59"/>
      <c r="AY49" s="59"/>
      <c r="AZ49" s="202"/>
      <c r="BA49" s="202"/>
      <c r="BB49" s="59"/>
      <c r="BC49" s="59"/>
      <c r="BD49" s="202"/>
      <c r="BE49" s="202"/>
      <c r="BF49" s="199"/>
    </row>
    <row r="50" spans="1:58" s="220" customFormat="1" ht="42" customHeight="1" x14ac:dyDescent="0.25">
      <c r="A50" s="187"/>
      <c r="B50" s="221" t="s">
        <v>152</v>
      </c>
      <c r="C50" s="59"/>
      <c r="D50" s="59"/>
      <c r="E50" s="59">
        <v>160000</v>
      </c>
      <c r="F50" s="59">
        <f t="shared" ref="F50:G55" si="20">J50+N50+R50+V50+Z50+AD50+AH50+AL50+AP50+AT50+AX50+BB50</f>
        <v>83964.98</v>
      </c>
      <c r="G50" s="59">
        <f t="shared" si="20"/>
        <v>83964.98</v>
      </c>
      <c r="H50" s="202">
        <v>109</v>
      </c>
      <c r="I50" s="202">
        <v>649</v>
      </c>
      <c r="J50" s="59">
        <v>9800.5499999999993</v>
      </c>
      <c r="K50" s="59">
        <v>9461.85</v>
      </c>
      <c r="L50" s="202">
        <v>98</v>
      </c>
      <c r="M50" s="202">
        <v>98</v>
      </c>
      <c r="N50" s="59">
        <v>9649.84</v>
      </c>
      <c r="O50" s="59">
        <v>9988.5400000000009</v>
      </c>
      <c r="P50" s="202">
        <v>96</v>
      </c>
      <c r="Q50" s="202">
        <v>96</v>
      </c>
      <c r="R50" s="59">
        <f>514.14+9077.06</f>
        <v>9591.1999999999989</v>
      </c>
      <c r="S50" s="59">
        <v>9591.2000000000007</v>
      </c>
      <c r="T50" s="202">
        <v>93</v>
      </c>
      <c r="U50" s="202">
        <v>93</v>
      </c>
      <c r="V50" s="59">
        <v>9463.5400000000009</v>
      </c>
      <c r="W50" s="59">
        <v>9463.5400000000009</v>
      </c>
      <c r="X50" s="202">
        <v>92</v>
      </c>
      <c r="Y50" s="202">
        <v>92</v>
      </c>
      <c r="Z50" s="65">
        <v>9194.5</v>
      </c>
      <c r="AA50" s="65">
        <v>9194.5</v>
      </c>
      <c r="AB50" s="202">
        <v>93</v>
      </c>
      <c r="AC50" s="202">
        <v>94</v>
      </c>
      <c r="AD50" s="65">
        <v>8792.9</v>
      </c>
      <c r="AE50" s="65">
        <v>8792.9</v>
      </c>
      <c r="AF50" s="202">
        <v>87</v>
      </c>
      <c r="AG50" s="202">
        <v>87</v>
      </c>
      <c r="AH50" s="59">
        <v>9021.25</v>
      </c>
      <c r="AI50" s="65">
        <v>9021.25</v>
      </c>
      <c r="AJ50" s="202">
        <v>88</v>
      </c>
      <c r="AK50" s="202">
        <v>89</v>
      </c>
      <c r="AL50" s="65">
        <v>8970.7199999999993</v>
      </c>
      <c r="AM50" s="65">
        <v>8970.7199999999993</v>
      </c>
      <c r="AN50" s="202">
        <v>88</v>
      </c>
      <c r="AO50" s="202">
        <v>88</v>
      </c>
      <c r="AP50" s="59">
        <v>9480.48</v>
      </c>
      <c r="AQ50" s="59">
        <v>9480.48</v>
      </c>
      <c r="AR50" s="202">
        <v>92</v>
      </c>
      <c r="AS50" s="202">
        <v>92</v>
      </c>
      <c r="AT50" s="59"/>
      <c r="AU50" s="59"/>
      <c r="AV50" s="202"/>
      <c r="AW50" s="202"/>
      <c r="AX50" s="59"/>
      <c r="AY50" s="59"/>
      <c r="AZ50" s="202"/>
      <c r="BA50" s="202"/>
      <c r="BB50" s="59"/>
      <c r="BC50" s="59"/>
      <c r="BD50" s="202"/>
      <c r="BE50" s="202"/>
      <c r="BF50" s="199"/>
    </row>
    <row r="51" spans="1:58" s="220" customFormat="1" ht="42" customHeight="1" x14ac:dyDescent="0.25">
      <c r="A51" s="187"/>
      <c r="B51" s="221" t="s">
        <v>154</v>
      </c>
      <c r="C51" s="59"/>
      <c r="D51" s="59"/>
      <c r="E51" s="59">
        <v>700000</v>
      </c>
      <c r="F51" s="59">
        <f t="shared" si="20"/>
        <v>380000</v>
      </c>
      <c r="G51" s="59">
        <f t="shared" si="20"/>
        <v>380000</v>
      </c>
      <c r="H51" s="202">
        <v>15</v>
      </c>
      <c r="I51" s="202">
        <v>15</v>
      </c>
      <c r="J51" s="59">
        <v>120000</v>
      </c>
      <c r="K51" s="59">
        <v>120000</v>
      </c>
      <c r="L51" s="202">
        <v>6</v>
      </c>
      <c r="M51" s="202">
        <v>6</v>
      </c>
      <c r="N51" s="59">
        <v>0</v>
      </c>
      <c r="O51" s="59">
        <v>0</v>
      </c>
      <c r="P51" s="202"/>
      <c r="Q51" s="202"/>
      <c r="R51" s="59">
        <v>40000</v>
      </c>
      <c r="S51" s="59">
        <v>40000</v>
      </c>
      <c r="T51" s="202">
        <v>2</v>
      </c>
      <c r="U51" s="202">
        <v>2</v>
      </c>
      <c r="V51" s="59">
        <v>0</v>
      </c>
      <c r="W51" s="59">
        <v>0</v>
      </c>
      <c r="X51" s="202"/>
      <c r="Y51" s="202"/>
      <c r="Z51" s="65">
        <v>20000</v>
      </c>
      <c r="AA51" s="65">
        <v>20000</v>
      </c>
      <c r="AB51" s="202">
        <v>1</v>
      </c>
      <c r="AC51" s="202">
        <v>1</v>
      </c>
      <c r="AD51" s="65">
        <v>120000</v>
      </c>
      <c r="AE51" s="65">
        <v>120000</v>
      </c>
      <c r="AF51" s="202">
        <v>6</v>
      </c>
      <c r="AG51" s="202">
        <v>6</v>
      </c>
      <c r="AH51" s="59"/>
      <c r="AI51" s="65"/>
      <c r="AJ51" s="202"/>
      <c r="AK51" s="202"/>
      <c r="AL51" s="65">
        <v>20000</v>
      </c>
      <c r="AM51" s="65">
        <v>20000</v>
      </c>
      <c r="AN51" s="202">
        <v>1</v>
      </c>
      <c r="AO51" s="202">
        <v>1</v>
      </c>
      <c r="AP51" s="59">
        <v>60000</v>
      </c>
      <c r="AQ51" s="59">
        <v>60000</v>
      </c>
      <c r="AR51" s="202">
        <v>3</v>
      </c>
      <c r="AS51" s="202">
        <v>3</v>
      </c>
      <c r="AT51" s="59"/>
      <c r="AU51" s="59"/>
      <c r="AV51" s="202"/>
      <c r="AW51" s="202"/>
      <c r="AX51" s="59"/>
      <c r="AY51" s="59"/>
      <c r="AZ51" s="202"/>
      <c r="BA51" s="202"/>
      <c r="BB51" s="59"/>
      <c r="BC51" s="59"/>
      <c r="BD51" s="202"/>
      <c r="BE51" s="202"/>
      <c r="BF51" s="199"/>
    </row>
    <row r="52" spans="1:58" s="220" customFormat="1" ht="42" customHeight="1" x14ac:dyDescent="0.25">
      <c r="A52" s="187"/>
      <c r="B52" s="206" t="s">
        <v>155</v>
      </c>
      <c r="C52" s="59"/>
      <c r="D52" s="59"/>
      <c r="E52" s="59">
        <v>847000</v>
      </c>
      <c r="F52" s="59">
        <f t="shared" si="20"/>
        <v>506549.04000000004</v>
      </c>
      <c r="G52" s="59">
        <f t="shared" si="20"/>
        <v>506549.04000000004</v>
      </c>
      <c r="H52" s="202"/>
      <c r="I52" s="202"/>
      <c r="J52" s="59">
        <v>50472</v>
      </c>
      <c r="K52" s="59">
        <v>50472</v>
      </c>
      <c r="L52" s="202"/>
      <c r="M52" s="202"/>
      <c r="N52" s="59">
        <v>41183.47</v>
      </c>
      <c r="O52" s="59">
        <f>41183.47</f>
        <v>41183.47</v>
      </c>
      <c r="P52" s="202"/>
      <c r="Q52" s="202"/>
      <c r="R52" s="59">
        <v>23760</v>
      </c>
      <c r="S52" s="59">
        <f>23760</f>
        <v>23760</v>
      </c>
      <c r="T52" s="202"/>
      <c r="U52" s="202"/>
      <c r="V52" s="59">
        <f>39650</f>
        <v>39650</v>
      </c>
      <c r="W52" s="59">
        <f>39650</f>
        <v>39650</v>
      </c>
      <c r="X52" s="202"/>
      <c r="Y52" s="202"/>
      <c r="Z52" s="65">
        <f>66605.09+44482.16+30691.58</f>
        <v>141778.83000000002</v>
      </c>
      <c r="AA52" s="65">
        <f>66605.09+44482.16+30691.58</f>
        <v>141778.83000000002</v>
      </c>
      <c r="AB52" s="202"/>
      <c r="AC52" s="202"/>
      <c r="AD52" s="65">
        <f>28999.97+5265.8</f>
        <v>34265.770000000004</v>
      </c>
      <c r="AE52" s="65">
        <f>28999.97+5265.8</f>
        <v>34265.770000000004</v>
      </c>
      <c r="AF52" s="202"/>
      <c r="AG52" s="202"/>
      <c r="AH52" s="65">
        <f>68163.85</f>
        <v>68163.850000000006</v>
      </c>
      <c r="AI52" s="65">
        <f>68163.85</f>
        <v>68163.850000000006</v>
      </c>
      <c r="AJ52" s="202"/>
      <c r="AK52" s="202"/>
      <c r="AL52" s="65"/>
      <c r="AM52" s="65"/>
      <c r="AN52" s="202"/>
      <c r="AO52" s="202"/>
      <c r="AP52" s="59">
        <v>107275.12</v>
      </c>
      <c r="AQ52" s="59">
        <v>107275.12</v>
      </c>
      <c r="AR52" s="202"/>
      <c r="AS52" s="202"/>
      <c r="AT52" s="59"/>
      <c r="AU52" s="59"/>
      <c r="AV52" s="202"/>
      <c r="AW52" s="202"/>
      <c r="AX52" s="59"/>
      <c r="AY52" s="59"/>
      <c r="AZ52" s="202"/>
      <c r="BA52" s="202"/>
      <c r="BB52" s="59"/>
      <c r="BC52" s="59"/>
      <c r="BD52" s="202"/>
      <c r="BE52" s="202"/>
      <c r="BF52" s="199"/>
    </row>
    <row r="53" spans="1:58" s="220" customFormat="1" ht="42" customHeight="1" x14ac:dyDescent="0.25">
      <c r="A53" s="212"/>
      <c r="B53" s="206" t="s">
        <v>371</v>
      </c>
      <c r="C53" s="59"/>
      <c r="D53" s="59"/>
      <c r="E53" s="59">
        <v>17923000</v>
      </c>
      <c r="F53" s="59">
        <f>J53+N53+R53+V53+Z53+AD53+AH53+AL53+AP53+AT53+AX53+BB53</f>
        <v>10942154.640000001</v>
      </c>
      <c r="G53" s="59">
        <f>K53+O53+S53+W53+AA53+AE53+AI53+AM53+AQ53+AU53+AY53+BC53</f>
        <v>10942154.640000001</v>
      </c>
      <c r="H53" s="202"/>
      <c r="I53" s="202"/>
      <c r="J53" s="59">
        <v>1183736.78</v>
      </c>
      <c r="K53" s="59">
        <v>1183736.78</v>
      </c>
      <c r="L53" s="202"/>
      <c r="M53" s="202"/>
      <c r="N53" s="59">
        <v>356829.98</v>
      </c>
      <c r="O53" s="59">
        <f>32190+178479.94+6905.46+38449.86+2463.82+98340.9</f>
        <v>356829.98</v>
      </c>
      <c r="P53" s="202"/>
      <c r="Q53" s="202"/>
      <c r="R53" s="59">
        <v>1349278.29</v>
      </c>
      <c r="S53" s="59">
        <f>1024847.46+4002.57+32412+126640.47+1559.29+32042.4+28393.6+99380.5</f>
        <v>1349278.2899999998</v>
      </c>
      <c r="T53" s="202"/>
      <c r="U53" s="202"/>
      <c r="V53" s="59">
        <f>968190.25+172779.06+33993.75+98340.9+26113.6+32990.4</f>
        <v>1332407.96</v>
      </c>
      <c r="W53" s="59">
        <f>968190.25+172779.06+33993.75+98340.9+26113.6+32990.4</f>
        <v>1332407.96</v>
      </c>
      <c r="X53" s="202"/>
      <c r="Y53" s="202"/>
      <c r="Z53" s="65">
        <f>963804.89+218025.44+34410</f>
        <v>1216240.33</v>
      </c>
      <c r="AA53" s="65">
        <f>963804.89+218025.44+34410</f>
        <v>1216240.33</v>
      </c>
      <c r="AB53" s="202"/>
      <c r="AC53" s="202"/>
      <c r="AD53" s="65">
        <f>89666.19+24900.63+30544.48+194950.22+24418.1+30026.95+27303.49+934011.5</f>
        <v>1355821.56</v>
      </c>
      <c r="AE53" s="65">
        <f>89666.19+24900.63+30544.48+194950.22+24418.1+30026.95+27303.49+934011.5</f>
        <v>1355821.56</v>
      </c>
      <c r="AF53" s="202"/>
      <c r="AG53" s="202"/>
      <c r="AH53" s="65">
        <f>87060.62+29568.53+215704+956499.44+107466.95+9018.25+25694.86+33461.43</f>
        <v>1464474.0799999998</v>
      </c>
      <c r="AI53" s="65">
        <f>87060.62+29568.53+215704+956499.44+107466.95+9018.25+25694.86+33461.43</f>
        <v>1464474.0799999998</v>
      </c>
      <c r="AJ53" s="202"/>
      <c r="AK53" s="202"/>
      <c r="AL53" s="65">
        <v>1276190.96</v>
      </c>
      <c r="AM53" s="65">
        <f>28088.02+445.93+109717.3+232016.96+855854+22563.36+3884.44+28271.76-1879.49-2771.32</f>
        <v>1276190.96</v>
      </c>
      <c r="AN53" s="202"/>
      <c r="AO53" s="202"/>
      <c r="AP53" s="59">
        <v>1407174.6999999995</v>
      </c>
      <c r="AQ53" s="59">
        <v>1407174.6999999995</v>
      </c>
      <c r="AR53" s="202"/>
      <c r="AS53" s="202"/>
      <c r="AT53" s="59"/>
      <c r="AU53" s="59"/>
      <c r="AV53" s="202"/>
      <c r="AW53" s="202"/>
      <c r="AX53" s="59"/>
      <c r="AY53" s="59"/>
      <c r="AZ53" s="202"/>
      <c r="BA53" s="202"/>
      <c r="BB53" s="59"/>
      <c r="BC53" s="59"/>
      <c r="BD53" s="202"/>
      <c r="BE53" s="202"/>
      <c r="BF53" s="199"/>
    </row>
    <row r="54" spans="1:58" s="220" customFormat="1" ht="42" customHeight="1" x14ac:dyDescent="0.25">
      <c r="A54" s="212"/>
      <c r="B54" s="206" t="s">
        <v>156</v>
      </c>
      <c r="C54" s="59"/>
      <c r="D54" s="59"/>
      <c r="E54" s="59">
        <v>234000</v>
      </c>
      <c r="F54" s="59">
        <f>J54+N54+R54+V54+Z54+AD54+AH54+AL54+AP54+AT54+AX54+BB54</f>
        <v>190090.37</v>
      </c>
      <c r="G54" s="59">
        <f>K54+O54+S54+W54+AA54+AE54+AI54+AM54+AQ54+AU54+AY54+BC54</f>
        <v>190090.37</v>
      </c>
      <c r="H54" s="202"/>
      <c r="I54" s="202"/>
      <c r="J54" s="59">
        <v>12482</v>
      </c>
      <c r="K54" s="59">
        <v>12482</v>
      </c>
      <c r="L54" s="202">
        <v>23</v>
      </c>
      <c r="M54" s="202">
        <v>23</v>
      </c>
      <c r="N54" s="59">
        <v>15100</v>
      </c>
      <c r="O54" s="59"/>
      <c r="P54" s="202">
        <v>30</v>
      </c>
      <c r="Q54" s="202">
        <v>30</v>
      </c>
      <c r="R54" s="59">
        <v>18145</v>
      </c>
      <c r="S54" s="59">
        <v>33245</v>
      </c>
      <c r="T54" s="202">
        <v>35</v>
      </c>
      <c r="U54" s="202">
        <v>35</v>
      </c>
      <c r="V54" s="59">
        <v>4722.6899999999996</v>
      </c>
      <c r="W54" s="59"/>
      <c r="X54" s="202">
        <v>10</v>
      </c>
      <c r="Y54" s="202">
        <v>10</v>
      </c>
      <c r="Z54" s="65">
        <v>33779.71</v>
      </c>
      <c r="AA54" s="65">
        <v>38502.400000000001</v>
      </c>
      <c r="AB54" s="202">
        <v>68</v>
      </c>
      <c r="AC54" s="202">
        <v>68</v>
      </c>
      <c r="AD54" s="65">
        <v>22390.34</v>
      </c>
      <c r="AE54" s="65">
        <v>22390.34</v>
      </c>
      <c r="AF54" s="202">
        <v>49</v>
      </c>
      <c r="AG54" s="202">
        <v>49</v>
      </c>
      <c r="AH54" s="59">
        <v>33642.19</v>
      </c>
      <c r="AI54" s="65">
        <v>33642.19</v>
      </c>
      <c r="AJ54" s="202">
        <v>69</v>
      </c>
      <c r="AK54" s="202">
        <v>69</v>
      </c>
      <c r="AL54" s="65">
        <v>29166.84</v>
      </c>
      <c r="AM54" s="65"/>
      <c r="AN54" s="202">
        <v>54</v>
      </c>
      <c r="AO54" s="202">
        <v>54</v>
      </c>
      <c r="AP54" s="59">
        <v>20661.599999999999</v>
      </c>
      <c r="AQ54" s="59">
        <v>49828.44</v>
      </c>
      <c r="AR54" s="202">
        <v>44</v>
      </c>
      <c r="AS54" s="202">
        <v>44</v>
      </c>
      <c r="AT54" s="59"/>
      <c r="AU54" s="59"/>
      <c r="AV54" s="202"/>
      <c r="AW54" s="202"/>
      <c r="AX54" s="59"/>
      <c r="AY54" s="59"/>
      <c r="AZ54" s="202"/>
      <c r="BA54" s="202"/>
      <c r="BB54" s="59"/>
      <c r="BC54" s="59"/>
      <c r="BD54" s="202"/>
      <c r="BE54" s="202"/>
      <c r="BF54" s="199"/>
    </row>
    <row r="55" spans="1:58" s="220" customFormat="1" ht="42" customHeight="1" x14ac:dyDescent="0.25">
      <c r="A55" s="187"/>
      <c r="B55" s="206" t="s">
        <v>157</v>
      </c>
      <c r="C55" s="59"/>
      <c r="D55" s="59"/>
      <c r="E55" s="59">
        <v>36000</v>
      </c>
      <c r="F55" s="59">
        <f t="shared" si="20"/>
        <v>27000</v>
      </c>
      <c r="G55" s="59">
        <f t="shared" si="20"/>
        <v>27000</v>
      </c>
      <c r="H55" s="202"/>
      <c r="I55" s="202"/>
      <c r="J55" s="210">
        <v>3000</v>
      </c>
      <c r="K55" s="210">
        <v>3000</v>
      </c>
      <c r="L55" s="202"/>
      <c r="M55" s="202"/>
      <c r="N55" s="210">
        <v>3000</v>
      </c>
      <c r="O55" s="210">
        <v>3000</v>
      </c>
      <c r="P55" s="202"/>
      <c r="Q55" s="202"/>
      <c r="R55" s="210">
        <v>3000</v>
      </c>
      <c r="S55" s="210">
        <v>3000</v>
      </c>
      <c r="T55" s="202"/>
      <c r="U55" s="202"/>
      <c r="V55" s="210">
        <f>1500+1500</f>
        <v>3000</v>
      </c>
      <c r="W55" s="210">
        <f>1500+1500</f>
        <v>3000</v>
      </c>
      <c r="X55" s="202"/>
      <c r="Y55" s="202"/>
      <c r="Z55" s="211">
        <v>3000</v>
      </c>
      <c r="AA55" s="211">
        <v>3000</v>
      </c>
      <c r="AB55" s="202"/>
      <c r="AC55" s="202"/>
      <c r="AD55" s="211">
        <v>3000</v>
      </c>
      <c r="AE55" s="211">
        <v>3000</v>
      </c>
      <c r="AF55" s="202"/>
      <c r="AG55" s="202"/>
      <c r="AH55" s="211">
        <v>3000</v>
      </c>
      <c r="AI55" s="211">
        <v>3000</v>
      </c>
      <c r="AJ55" s="202"/>
      <c r="AK55" s="202"/>
      <c r="AL55" s="211">
        <v>3000</v>
      </c>
      <c r="AM55" s="211">
        <v>3000</v>
      </c>
      <c r="AN55" s="202"/>
      <c r="AO55" s="202"/>
      <c r="AP55" s="210">
        <v>3000</v>
      </c>
      <c r="AQ55" s="210">
        <v>3000</v>
      </c>
      <c r="AR55" s="202"/>
      <c r="AS55" s="202"/>
      <c r="AT55" s="210"/>
      <c r="AU55" s="210"/>
      <c r="AV55" s="202"/>
      <c r="AW55" s="202"/>
      <c r="AX55" s="210"/>
      <c r="AY55" s="210"/>
      <c r="AZ55" s="202"/>
      <c r="BA55" s="202"/>
      <c r="BB55" s="210"/>
      <c r="BC55" s="210"/>
      <c r="BD55" s="202"/>
      <c r="BE55" s="202"/>
      <c r="BF55" s="199"/>
    </row>
    <row r="56" spans="1:58" s="207" customFormat="1" ht="42" customHeight="1" x14ac:dyDescent="0.25">
      <c r="A56" s="194" t="s">
        <v>372</v>
      </c>
      <c r="B56" s="195" t="s">
        <v>159</v>
      </c>
      <c r="C56" s="196">
        <v>3100000</v>
      </c>
      <c r="D56" s="196">
        <v>3100000</v>
      </c>
      <c r="E56" s="196">
        <f>SUM(E57:E60)</f>
        <v>3100000</v>
      </c>
      <c r="F56" s="196">
        <f t="shared" ref="F56:AS56" si="21">SUM(F57:F60)</f>
        <v>987050.64999999991</v>
      </c>
      <c r="G56" s="196">
        <f t="shared" si="21"/>
        <v>1140594.6499999999</v>
      </c>
      <c r="H56" s="196">
        <f t="shared" si="21"/>
        <v>1210</v>
      </c>
      <c r="I56" s="196">
        <f t="shared" si="21"/>
        <v>15548</v>
      </c>
      <c r="J56" s="196">
        <f t="shared" si="21"/>
        <v>86789.5</v>
      </c>
      <c r="K56" s="196">
        <f t="shared" si="21"/>
        <v>77407</v>
      </c>
      <c r="L56" s="196">
        <f t="shared" si="21"/>
        <v>278</v>
      </c>
      <c r="M56" s="196">
        <f t="shared" si="21"/>
        <v>1858</v>
      </c>
      <c r="N56" s="196">
        <f t="shared" si="21"/>
        <v>80611.100000000006</v>
      </c>
      <c r="O56" s="196">
        <f t="shared" si="21"/>
        <v>241968.1</v>
      </c>
      <c r="P56" s="196">
        <f t="shared" si="21"/>
        <v>306</v>
      </c>
      <c r="Q56" s="196">
        <f t="shared" si="21"/>
        <v>2045</v>
      </c>
      <c r="R56" s="196">
        <f t="shared" si="21"/>
        <v>138825.22</v>
      </c>
      <c r="S56" s="196">
        <f t="shared" si="21"/>
        <v>80201.72</v>
      </c>
      <c r="T56" s="196">
        <f t="shared" si="21"/>
        <v>296</v>
      </c>
      <c r="U56" s="196">
        <f t="shared" si="21"/>
        <v>2063</v>
      </c>
      <c r="V56" s="196">
        <f t="shared" si="21"/>
        <v>96068</v>
      </c>
      <c r="W56" s="196">
        <f t="shared" si="21"/>
        <v>244412.5</v>
      </c>
      <c r="X56" s="196">
        <f t="shared" si="21"/>
        <v>334</v>
      </c>
      <c r="Y56" s="196">
        <f t="shared" si="21"/>
        <v>2349</v>
      </c>
      <c r="Z56" s="196">
        <f t="shared" si="21"/>
        <v>92694.33</v>
      </c>
      <c r="AA56" s="196">
        <f t="shared" si="21"/>
        <v>86458.83</v>
      </c>
      <c r="AB56" s="196">
        <f t="shared" si="21"/>
        <v>337</v>
      </c>
      <c r="AC56" s="196">
        <f t="shared" si="21"/>
        <v>2296</v>
      </c>
      <c r="AD56" s="196">
        <f t="shared" si="21"/>
        <v>154497.32</v>
      </c>
      <c r="AE56" s="196">
        <f t="shared" si="21"/>
        <v>158553.82</v>
      </c>
      <c r="AF56" s="196">
        <f t="shared" si="21"/>
        <v>341</v>
      </c>
      <c r="AG56" s="196">
        <f t="shared" si="21"/>
        <v>2404</v>
      </c>
      <c r="AH56" s="196">
        <f t="shared" si="21"/>
        <v>95364.5</v>
      </c>
      <c r="AI56" s="196">
        <f t="shared" si="21"/>
        <v>96729.5</v>
      </c>
      <c r="AJ56" s="196">
        <f t="shared" si="21"/>
        <v>337</v>
      </c>
      <c r="AK56" s="196">
        <f t="shared" si="21"/>
        <v>2457</v>
      </c>
      <c r="AL56" s="196">
        <f t="shared" si="21"/>
        <v>97973.5</v>
      </c>
      <c r="AM56" s="196">
        <f t="shared" si="21"/>
        <v>42376</v>
      </c>
      <c r="AN56" s="196">
        <f t="shared" si="21"/>
        <v>325</v>
      </c>
      <c r="AO56" s="196">
        <f t="shared" si="21"/>
        <v>2437</v>
      </c>
      <c r="AP56" s="196">
        <f t="shared" si="21"/>
        <v>144227.18</v>
      </c>
      <c r="AQ56" s="196">
        <f t="shared" si="21"/>
        <v>112487.18</v>
      </c>
      <c r="AR56" s="196">
        <f t="shared" si="21"/>
        <v>334</v>
      </c>
      <c r="AS56" s="196">
        <f t="shared" si="21"/>
        <v>2470</v>
      </c>
      <c r="AT56" s="196">
        <f t="shared" ref="AT56:BE56" si="22">SUM(AT57:AT60)</f>
        <v>0</v>
      </c>
      <c r="AU56" s="196">
        <f t="shared" si="22"/>
        <v>0</v>
      </c>
      <c r="AV56" s="198">
        <f t="shared" si="22"/>
        <v>0</v>
      </c>
      <c r="AW56" s="198">
        <f t="shared" si="22"/>
        <v>0</v>
      </c>
      <c r="AX56" s="196">
        <f t="shared" si="22"/>
        <v>0</v>
      </c>
      <c r="AY56" s="196">
        <f t="shared" si="22"/>
        <v>0</v>
      </c>
      <c r="AZ56" s="198">
        <f t="shared" si="22"/>
        <v>0</v>
      </c>
      <c r="BA56" s="198">
        <f t="shared" si="22"/>
        <v>0</v>
      </c>
      <c r="BB56" s="196">
        <f t="shared" si="22"/>
        <v>0</v>
      </c>
      <c r="BC56" s="196">
        <f t="shared" si="22"/>
        <v>0</v>
      </c>
      <c r="BD56" s="198">
        <f t="shared" si="22"/>
        <v>0</v>
      </c>
      <c r="BE56" s="198">
        <f t="shared" si="22"/>
        <v>0</v>
      </c>
      <c r="BF56" s="199"/>
    </row>
    <row r="57" spans="1:58" s="207" customFormat="1" ht="42" customHeight="1" x14ac:dyDescent="0.25">
      <c r="A57" s="187"/>
      <c r="B57" s="206" t="s">
        <v>160</v>
      </c>
      <c r="C57" s="59"/>
      <c r="D57" s="59"/>
      <c r="E57" s="59">
        <v>1812000</v>
      </c>
      <c r="F57" s="59">
        <f t="shared" ref="F57:G60" si="23">J57+N57+R57+V57+Z57+AD57+AH57+AL57+AP57+AT57+AX57+BB57</f>
        <v>152763</v>
      </c>
      <c r="G57" s="59">
        <f t="shared" si="23"/>
        <v>392332</v>
      </c>
      <c r="H57" s="202">
        <v>595</v>
      </c>
      <c r="I57" s="202">
        <v>10203</v>
      </c>
      <c r="J57" s="59">
        <v>15147</v>
      </c>
      <c r="K57" s="59">
        <v>15147</v>
      </c>
      <c r="L57" s="202">
        <v>181</v>
      </c>
      <c r="M57" s="202">
        <v>1257</v>
      </c>
      <c r="N57" s="59">
        <v>15796</v>
      </c>
      <c r="O57" s="59">
        <f>14960+155863</f>
        <v>170823</v>
      </c>
      <c r="P57" s="202">
        <v>212</v>
      </c>
      <c r="Q57" s="202">
        <v>1437</v>
      </c>
      <c r="R57" s="59">
        <v>16286</v>
      </c>
      <c r="S57" s="59">
        <v>2805</v>
      </c>
      <c r="T57" s="202">
        <v>195</v>
      </c>
      <c r="U57" s="202">
        <v>1349</v>
      </c>
      <c r="V57" s="59">
        <v>16423</v>
      </c>
      <c r="W57" s="59">
        <f>30740+84520</f>
        <v>115260</v>
      </c>
      <c r="X57" s="202">
        <v>218</v>
      </c>
      <c r="Y57" s="202">
        <v>1493</v>
      </c>
      <c r="Z57" s="65">
        <v>16456</v>
      </c>
      <c r="AA57" s="65">
        <v>11638</v>
      </c>
      <c r="AB57" s="202">
        <v>207</v>
      </c>
      <c r="AC57" s="202">
        <v>1496</v>
      </c>
      <c r="AD57" s="65">
        <v>16654</v>
      </c>
      <c r="AE57" s="65">
        <v>20658</v>
      </c>
      <c r="AF57" s="202">
        <v>219</v>
      </c>
      <c r="AG57" s="202">
        <v>1522</v>
      </c>
      <c r="AH57" s="59">
        <v>19327</v>
      </c>
      <c r="AI57" s="65">
        <v>19327</v>
      </c>
      <c r="AJ57" s="202">
        <v>228</v>
      </c>
      <c r="AK57" s="202">
        <v>1649</v>
      </c>
      <c r="AL57" s="65">
        <v>18711</v>
      </c>
      <c r="AM57" s="65">
        <v>18711</v>
      </c>
      <c r="AN57" s="202">
        <v>214</v>
      </c>
      <c r="AO57" s="202">
        <v>1580</v>
      </c>
      <c r="AP57" s="59">
        <v>17963</v>
      </c>
      <c r="AQ57" s="59">
        <v>17963</v>
      </c>
      <c r="AR57" s="202">
        <v>220</v>
      </c>
      <c r="AS57" s="202">
        <v>1587</v>
      </c>
      <c r="AT57" s="59"/>
      <c r="AU57" s="59"/>
      <c r="AV57" s="202"/>
      <c r="AW57" s="202"/>
      <c r="AX57" s="59"/>
      <c r="AY57" s="59"/>
      <c r="AZ57" s="202"/>
      <c r="BA57" s="202"/>
      <c r="BB57" s="59"/>
      <c r="BC57" s="59"/>
      <c r="BD57" s="202"/>
      <c r="BE57" s="202"/>
      <c r="BF57" s="199"/>
    </row>
    <row r="58" spans="1:58" s="207" customFormat="1" ht="42" customHeight="1" x14ac:dyDescent="0.25">
      <c r="A58" s="187"/>
      <c r="B58" s="206" t="s">
        <v>161</v>
      </c>
      <c r="C58" s="59"/>
      <c r="D58" s="59"/>
      <c r="E58" s="59">
        <v>360000</v>
      </c>
      <c r="F58" s="59">
        <f t="shared" si="23"/>
        <v>444620.1</v>
      </c>
      <c r="G58" s="59">
        <f t="shared" si="23"/>
        <v>358595.1</v>
      </c>
      <c r="H58" s="202">
        <v>615</v>
      </c>
      <c r="I58" s="202">
        <v>5345</v>
      </c>
      <c r="J58" s="59">
        <v>47977.5</v>
      </c>
      <c r="K58" s="59">
        <v>38595</v>
      </c>
      <c r="L58" s="202">
        <v>97</v>
      </c>
      <c r="M58" s="202">
        <v>601</v>
      </c>
      <c r="N58" s="59">
        <v>41150.1</v>
      </c>
      <c r="O58" s="59">
        <v>47480.1</v>
      </c>
      <c r="P58" s="202">
        <v>94</v>
      </c>
      <c r="Q58" s="202">
        <v>608</v>
      </c>
      <c r="R58" s="59">
        <v>48195</v>
      </c>
      <c r="S58" s="59">
        <v>3052.5</v>
      </c>
      <c r="T58" s="202">
        <v>101</v>
      </c>
      <c r="U58" s="202">
        <v>714</v>
      </c>
      <c r="V58" s="59">
        <v>55980</v>
      </c>
      <c r="W58" s="59">
        <v>105487.5</v>
      </c>
      <c r="X58" s="202">
        <v>116</v>
      </c>
      <c r="Y58" s="202">
        <v>856</v>
      </c>
      <c r="Z58" s="65">
        <v>52492.5</v>
      </c>
      <c r="AA58" s="65">
        <v>51075</v>
      </c>
      <c r="AB58" s="202">
        <v>130</v>
      </c>
      <c r="AC58" s="202">
        <v>800</v>
      </c>
      <c r="AD58" s="65">
        <v>59115</v>
      </c>
      <c r="AE58" s="65">
        <v>59167.5</v>
      </c>
      <c r="AF58" s="202">
        <v>122</v>
      </c>
      <c r="AG58" s="202">
        <v>882</v>
      </c>
      <c r="AH58" s="59">
        <v>52372.5</v>
      </c>
      <c r="AI58" s="65">
        <v>53737.5</v>
      </c>
      <c r="AJ58" s="202">
        <v>109</v>
      </c>
      <c r="AK58" s="202">
        <v>808</v>
      </c>
      <c r="AL58" s="65">
        <v>55597.5</v>
      </c>
      <c r="AM58" s="65">
        <v>0</v>
      </c>
      <c r="AN58" s="202">
        <v>111</v>
      </c>
      <c r="AO58" s="202">
        <v>857</v>
      </c>
      <c r="AP58" s="59">
        <v>31740</v>
      </c>
      <c r="AQ58" s="59">
        <v>0</v>
      </c>
      <c r="AR58" s="202">
        <v>114</v>
      </c>
      <c r="AS58" s="202">
        <v>883</v>
      </c>
      <c r="AT58" s="59"/>
      <c r="AU58" s="59"/>
      <c r="AV58" s="202"/>
      <c r="AW58" s="202"/>
      <c r="AX58" s="59"/>
      <c r="AY58" s="59"/>
      <c r="AZ58" s="202"/>
      <c r="BA58" s="202"/>
      <c r="BB58" s="59"/>
      <c r="BC58" s="59"/>
      <c r="BD58" s="202"/>
      <c r="BE58" s="202"/>
      <c r="BF58" s="199"/>
    </row>
    <row r="59" spans="1:58" s="207" customFormat="1" ht="52.5" customHeight="1" x14ac:dyDescent="0.25">
      <c r="A59" s="222"/>
      <c r="B59" s="206" t="s">
        <v>373</v>
      </c>
      <c r="C59" s="59"/>
      <c r="D59" s="59"/>
      <c r="E59" s="59">
        <v>642000</v>
      </c>
      <c r="F59" s="59">
        <f t="shared" si="23"/>
        <v>176682.55</v>
      </c>
      <c r="G59" s="59">
        <f t="shared" si="23"/>
        <v>176682.55</v>
      </c>
      <c r="H59" s="202"/>
      <c r="I59" s="202"/>
      <c r="J59" s="59"/>
      <c r="K59" s="59"/>
      <c r="L59" s="202"/>
      <c r="M59" s="202"/>
      <c r="N59" s="59"/>
      <c r="O59" s="59"/>
      <c r="P59" s="202"/>
      <c r="Q59" s="202"/>
      <c r="R59" s="59">
        <v>50679.22</v>
      </c>
      <c r="S59" s="59">
        <f>50679.22</f>
        <v>50679.22</v>
      </c>
      <c r="T59" s="202"/>
      <c r="U59" s="202"/>
      <c r="V59" s="59"/>
      <c r="W59" s="59"/>
      <c r="X59" s="202"/>
      <c r="Y59" s="202"/>
      <c r="Z59" s="65">
        <v>80.83</v>
      </c>
      <c r="AA59" s="65">
        <v>80.83</v>
      </c>
      <c r="AB59" s="202"/>
      <c r="AC59" s="202"/>
      <c r="AD59" s="65">
        <f>4408.4+50654.92</f>
        <v>55063.32</v>
      </c>
      <c r="AE59" s="65">
        <f>4408.4+50654.92</f>
        <v>55063.32</v>
      </c>
      <c r="AF59" s="202"/>
      <c r="AG59" s="202"/>
      <c r="AH59" s="59"/>
      <c r="AI59" s="65"/>
      <c r="AJ59" s="202"/>
      <c r="AK59" s="202"/>
      <c r="AL59" s="65"/>
      <c r="AM59" s="65"/>
      <c r="AN59" s="202"/>
      <c r="AO59" s="202"/>
      <c r="AP59" s="59">
        <v>70859.179999999993</v>
      </c>
      <c r="AQ59" s="59">
        <v>70859.179999999993</v>
      </c>
      <c r="AR59" s="202"/>
      <c r="AS59" s="202"/>
      <c r="AT59" s="59"/>
      <c r="AU59" s="59"/>
      <c r="AV59" s="202"/>
      <c r="AW59" s="202"/>
      <c r="AX59" s="59"/>
      <c r="AY59" s="59"/>
      <c r="AZ59" s="202"/>
      <c r="BA59" s="202"/>
      <c r="BB59" s="59"/>
      <c r="BC59" s="59"/>
      <c r="BD59" s="202"/>
      <c r="BE59" s="202"/>
      <c r="BF59" s="199"/>
    </row>
    <row r="60" spans="1:58" s="207" customFormat="1" ht="66.75" customHeight="1" x14ac:dyDescent="0.25">
      <c r="A60" s="222"/>
      <c r="B60" s="206" t="s">
        <v>374</v>
      </c>
      <c r="C60" s="59"/>
      <c r="D60" s="59"/>
      <c r="E60" s="59">
        <v>286000</v>
      </c>
      <c r="F60" s="59">
        <f t="shared" si="23"/>
        <v>212985</v>
      </c>
      <c r="G60" s="59">
        <f t="shared" si="23"/>
        <v>212985</v>
      </c>
      <c r="H60" s="202"/>
      <c r="I60" s="202"/>
      <c r="J60" s="210">
        <v>23665</v>
      </c>
      <c r="K60" s="210">
        <v>23665</v>
      </c>
      <c r="L60" s="202"/>
      <c r="M60" s="202"/>
      <c r="N60" s="210">
        <v>23665</v>
      </c>
      <c r="O60" s="210">
        <v>23665</v>
      </c>
      <c r="P60" s="202"/>
      <c r="Q60" s="202"/>
      <c r="R60" s="210">
        <v>23665</v>
      </c>
      <c r="S60" s="210">
        <v>23665</v>
      </c>
      <c r="T60" s="202"/>
      <c r="U60" s="202"/>
      <c r="V60" s="210">
        <f>11832.5+11832.5</f>
        <v>23665</v>
      </c>
      <c r="W60" s="210">
        <f>11832.5+11832.5</f>
        <v>23665</v>
      </c>
      <c r="X60" s="202"/>
      <c r="Y60" s="202"/>
      <c r="Z60" s="211">
        <f>23665</f>
        <v>23665</v>
      </c>
      <c r="AA60" s="211">
        <f>23665</f>
        <v>23665</v>
      </c>
      <c r="AB60" s="202"/>
      <c r="AC60" s="202"/>
      <c r="AD60" s="210">
        <v>23665</v>
      </c>
      <c r="AE60" s="210">
        <v>23665</v>
      </c>
      <c r="AF60" s="202"/>
      <c r="AG60" s="202"/>
      <c r="AH60" s="211">
        <v>23665</v>
      </c>
      <c r="AI60" s="211">
        <v>23665</v>
      </c>
      <c r="AJ60" s="202"/>
      <c r="AK60" s="202"/>
      <c r="AL60" s="211">
        <v>23665</v>
      </c>
      <c r="AM60" s="211">
        <v>23665</v>
      </c>
      <c r="AN60" s="202"/>
      <c r="AO60" s="202"/>
      <c r="AP60" s="210">
        <v>23665</v>
      </c>
      <c r="AQ60" s="210">
        <v>23665</v>
      </c>
      <c r="AR60" s="202"/>
      <c r="AS60" s="202"/>
      <c r="AT60" s="210"/>
      <c r="AU60" s="210"/>
      <c r="AV60" s="202"/>
      <c r="AW60" s="202"/>
      <c r="AX60" s="210"/>
      <c r="AY60" s="210"/>
      <c r="AZ60" s="202"/>
      <c r="BA60" s="202"/>
      <c r="BB60" s="210"/>
      <c r="BC60" s="210"/>
      <c r="BD60" s="202"/>
      <c r="BE60" s="202"/>
      <c r="BF60" s="199"/>
    </row>
    <row r="61" spans="1:58" s="200" customFormat="1" ht="42" customHeight="1" x14ac:dyDescent="0.2">
      <c r="A61" s="194" t="s">
        <v>375</v>
      </c>
      <c r="B61" s="223" t="s">
        <v>175</v>
      </c>
      <c r="C61" s="196">
        <v>6000000</v>
      </c>
      <c r="D61" s="196">
        <v>6000000</v>
      </c>
      <c r="E61" s="196">
        <f>SUM(E62:E72)</f>
        <v>6000000</v>
      </c>
      <c r="F61" s="196">
        <f t="shared" ref="F61:BE61" si="24">SUM(F62:F72)</f>
        <v>4153439.7600000002</v>
      </c>
      <c r="G61" s="196">
        <f t="shared" si="24"/>
        <v>4153439.7600000002</v>
      </c>
      <c r="H61" s="196">
        <f t="shared" si="24"/>
        <v>588</v>
      </c>
      <c r="I61" s="196">
        <f t="shared" si="24"/>
        <v>4083</v>
      </c>
      <c r="J61" s="196">
        <f t="shared" si="24"/>
        <v>80206.89</v>
      </c>
      <c r="K61" s="196">
        <f t="shared" si="24"/>
        <v>47334.05</v>
      </c>
      <c r="L61" s="196">
        <f t="shared" si="24"/>
        <v>169</v>
      </c>
      <c r="M61" s="196">
        <f t="shared" si="24"/>
        <v>575</v>
      </c>
      <c r="N61" s="196">
        <f t="shared" si="24"/>
        <v>665487.71000000008</v>
      </c>
      <c r="O61" s="196">
        <f t="shared" si="24"/>
        <v>698360.55</v>
      </c>
      <c r="P61" s="196">
        <f t="shared" si="24"/>
        <v>204</v>
      </c>
      <c r="Q61" s="196">
        <f t="shared" si="24"/>
        <v>590</v>
      </c>
      <c r="R61" s="196">
        <f t="shared" si="24"/>
        <v>854972.54999999993</v>
      </c>
      <c r="S61" s="196">
        <f t="shared" si="24"/>
        <v>854972.54999999993</v>
      </c>
      <c r="T61" s="196">
        <f t="shared" si="24"/>
        <v>187</v>
      </c>
      <c r="U61" s="196">
        <f t="shared" si="24"/>
        <v>602</v>
      </c>
      <c r="V61" s="196">
        <f t="shared" si="24"/>
        <v>299268.69</v>
      </c>
      <c r="W61" s="196">
        <f t="shared" si="24"/>
        <v>299268.69</v>
      </c>
      <c r="X61" s="196">
        <f t="shared" si="24"/>
        <v>230</v>
      </c>
      <c r="Y61" s="196">
        <f t="shared" si="24"/>
        <v>711</v>
      </c>
      <c r="Z61" s="196">
        <f t="shared" si="24"/>
        <v>234615.02000000002</v>
      </c>
      <c r="AA61" s="196">
        <f t="shared" si="24"/>
        <v>226132.39</v>
      </c>
      <c r="AB61" s="196">
        <f t="shared" si="24"/>
        <v>199</v>
      </c>
      <c r="AC61" s="196">
        <f t="shared" si="24"/>
        <v>526</v>
      </c>
      <c r="AD61" s="196">
        <f t="shared" si="24"/>
        <v>1109825.1000000001</v>
      </c>
      <c r="AE61" s="196">
        <f t="shared" si="24"/>
        <v>1113605.18</v>
      </c>
      <c r="AF61" s="196">
        <f t="shared" si="24"/>
        <v>217</v>
      </c>
      <c r="AG61" s="196">
        <f t="shared" si="24"/>
        <v>587</v>
      </c>
      <c r="AH61" s="196">
        <f t="shared" si="24"/>
        <v>600857.53</v>
      </c>
      <c r="AI61" s="196">
        <f t="shared" si="24"/>
        <v>596018.42000000004</v>
      </c>
      <c r="AJ61" s="196">
        <f t="shared" si="24"/>
        <v>241</v>
      </c>
      <c r="AK61" s="196">
        <f t="shared" si="24"/>
        <v>684</v>
      </c>
      <c r="AL61" s="196">
        <f t="shared" si="24"/>
        <v>104004.63</v>
      </c>
      <c r="AM61" s="196">
        <f t="shared" si="24"/>
        <v>95131.99</v>
      </c>
      <c r="AN61" s="196">
        <f t="shared" si="24"/>
        <v>197</v>
      </c>
      <c r="AO61" s="196">
        <f t="shared" si="24"/>
        <v>516</v>
      </c>
      <c r="AP61" s="196">
        <f t="shared" si="24"/>
        <v>204201.63999999998</v>
      </c>
      <c r="AQ61" s="196">
        <f t="shared" si="24"/>
        <v>222615.94</v>
      </c>
      <c r="AR61" s="196">
        <f t="shared" si="24"/>
        <v>171</v>
      </c>
      <c r="AS61" s="196">
        <f t="shared" si="24"/>
        <v>555</v>
      </c>
      <c r="AT61" s="196">
        <f t="shared" si="24"/>
        <v>0</v>
      </c>
      <c r="AU61" s="196">
        <f t="shared" si="24"/>
        <v>0</v>
      </c>
      <c r="AV61" s="198">
        <f t="shared" si="24"/>
        <v>0</v>
      </c>
      <c r="AW61" s="198">
        <f t="shared" si="24"/>
        <v>0</v>
      </c>
      <c r="AX61" s="196">
        <f t="shared" si="24"/>
        <v>0</v>
      </c>
      <c r="AY61" s="196">
        <f t="shared" si="24"/>
        <v>0</v>
      </c>
      <c r="AZ61" s="198">
        <f t="shared" si="24"/>
        <v>0</v>
      </c>
      <c r="BA61" s="198">
        <f t="shared" si="24"/>
        <v>0</v>
      </c>
      <c r="BB61" s="196">
        <f t="shared" si="24"/>
        <v>0</v>
      </c>
      <c r="BC61" s="196">
        <f t="shared" si="24"/>
        <v>0</v>
      </c>
      <c r="BD61" s="198">
        <f t="shared" si="24"/>
        <v>0</v>
      </c>
      <c r="BE61" s="198">
        <f t="shared" si="24"/>
        <v>0</v>
      </c>
      <c r="BF61" s="199"/>
    </row>
    <row r="62" spans="1:58" s="200" customFormat="1" ht="42" customHeight="1" x14ac:dyDescent="0.2">
      <c r="A62" s="187"/>
      <c r="B62" s="63" t="s">
        <v>317</v>
      </c>
      <c r="C62" s="59"/>
      <c r="D62" s="59"/>
      <c r="E62" s="59">
        <v>70000</v>
      </c>
      <c r="F62" s="59">
        <f t="shared" ref="F62:G72" si="25">J62+N62+R62+V62+Z62+AD62+AH62+AL62+AP62+AT62+AX62+BB62</f>
        <v>51560.640000000007</v>
      </c>
      <c r="G62" s="59">
        <f t="shared" si="25"/>
        <v>51560.640000000007</v>
      </c>
      <c r="H62" s="202">
        <v>177</v>
      </c>
      <c r="I62" s="202">
        <v>807</v>
      </c>
      <c r="J62" s="59">
        <v>5833</v>
      </c>
      <c r="K62" s="59">
        <v>0</v>
      </c>
      <c r="L62" s="202">
        <v>38</v>
      </c>
      <c r="M62" s="202">
        <v>93</v>
      </c>
      <c r="N62" s="59">
        <v>5833</v>
      </c>
      <c r="O62" s="59">
        <v>11666</v>
      </c>
      <c r="P62" s="202">
        <v>78</v>
      </c>
      <c r="Q62" s="202">
        <v>359</v>
      </c>
      <c r="R62" s="59">
        <v>5833</v>
      </c>
      <c r="S62" s="59">
        <v>5833</v>
      </c>
      <c r="T62" s="202">
        <v>53</v>
      </c>
      <c r="U62" s="202">
        <v>117</v>
      </c>
      <c r="V62" s="59">
        <v>4894.99</v>
      </c>
      <c r="W62" s="59">
        <v>4894.99</v>
      </c>
      <c r="X62" s="202">
        <v>59</v>
      </c>
      <c r="Y62" s="202">
        <v>134</v>
      </c>
      <c r="Z62" s="65">
        <v>5833.33</v>
      </c>
      <c r="AA62" s="65">
        <v>5833.33</v>
      </c>
      <c r="AB62" s="202">
        <v>45</v>
      </c>
      <c r="AC62" s="202">
        <v>91</v>
      </c>
      <c r="AD62" s="65">
        <v>5833.33</v>
      </c>
      <c r="AE62" s="65">
        <v>5833.33</v>
      </c>
      <c r="AF62" s="202">
        <v>64</v>
      </c>
      <c r="AG62" s="202">
        <v>135</v>
      </c>
      <c r="AH62" s="59">
        <v>5833.33</v>
      </c>
      <c r="AI62" s="65">
        <v>5833.33</v>
      </c>
      <c r="AJ62" s="202">
        <v>67</v>
      </c>
      <c r="AK62" s="202">
        <v>138</v>
      </c>
      <c r="AL62" s="65">
        <v>5833.33</v>
      </c>
      <c r="AM62" s="65">
        <v>5833.33</v>
      </c>
      <c r="AN62" s="202">
        <v>47</v>
      </c>
      <c r="AO62" s="202">
        <v>97</v>
      </c>
      <c r="AP62" s="59">
        <v>5833.33</v>
      </c>
      <c r="AQ62" s="59">
        <v>5833.33</v>
      </c>
      <c r="AR62" s="202">
        <v>35</v>
      </c>
      <c r="AS62" s="202">
        <v>73</v>
      </c>
      <c r="AT62" s="59"/>
      <c r="AU62" s="59"/>
      <c r="AV62" s="202"/>
      <c r="AW62" s="202"/>
      <c r="AX62" s="59"/>
      <c r="AY62" s="59"/>
      <c r="AZ62" s="202"/>
      <c r="BA62" s="202"/>
      <c r="BB62" s="59"/>
      <c r="BC62" s="59"/>
      <c r="BD62" s="202"/>
      <c r="BE62" s="202"/>
      <c r="BF62" s="199"/>
    </row>
    <row r="63" spans="1:58" s="200" customFormat="1" ht="42" customHeight="1" x14ac:dyDescent="0.2">
      <c r="A63" s="187"/>
      <c r="B63" s="63" t="s">
        <v>177</v>
      </c>
      <c r="C63" s="59"/>
      <c r="D63" s="59"/>
      <c r="E63" s="59">
        <v>200000</v>
      </c>
      <c r="F63" s="59">
        <f t="shared" si="25"/>
        <v>222044.09999999998</v>
      </c>
      <c r="G63" s="59">
        <f t="shared" si="25"/>
        <v>222044.09999999998</v>
      </c>
      <c r="H63" s="202">
        <f>L63+P63++T63+X63</f>
        <v>217</v>
      </c>
      <c r="I63" s="202">
        <f>M63+Q63++U63+Y63</f>
        <v>234</v>
      </c>
      <c r="J63" s="59">
        <v>12039.84</v>
      </c>
      <c r="K63" s="59">
        <v>0</v>
      </c>
      <c r="L63" s="202">
        <v>30</v>
      </c>
      <c r="M63" s="202">
        <v>31</v>
      </c>
      <c r="N63" s="59">
        <v>36650.82</v>
      </c>
      <c r="O63" s="59">
        <v>48690.66</v>
      </c>
      <c r="P63" s="202">
        <v>79</v>
      </c>
      <c r="Q63" s="202">
        <v>90</v>
      </c>
      <c r="R63" s="59">
        <v>20613.059999999998</v>
      </c>
      <c r="S63" s="59">
        <v>20613.060000000001</v>
      </c>
      <c r="T63" s="202">
        <v>46</v>
      </c>
      <c r="U63" s="202">
        <v>48</v>
      </c>
      <c r="V63" s="59">
        <v>29759.65</v>
      </c>
      <c r="W63" s="59">
        <v>29759.65</v>
      </c>
      <c r="X63" s="202">
        <v>62</v>
      </c>
      <c r="Y63" s="202">
        <v>65</v>
      </c>
      <c r="Z63" s="65">
        <v>25484.63</v>
      </c>
      <c r="AA63" s="65">
        <v>17002</v>
      </c>
      <c r="AB63" s="202">
        <v>59</v>
      </c>
      <c r="AC63" s="202">
        <v>60</v>
      </c>
      <c r="AD63" s="65">
        <v>22794.55</v>
      </c>
      <c r="AE63" s="65">
        <v>26574.63</v>
      </c>
      <c r="AF63" s="202">
        <v>53</v>
      </c>
      <c r="AG63" s="202">
        <v>55</v>
      </c>
      <c r="AH63" s="59">
        <v>32350.91</v>
      </c>
      <c r="AI63" s="65">
        <v>37053.46</v>
      </c>
      <c r="AJ63" s="202">
        <v>76</v>
      </c>
      <c r="AK63" s="202">
        <v>77</v>
      </c>
      <c r="AL63" s="65">
        <v>26454.639999999999</v>
      </c>
      <c r="AM63" s="65">
        <v>17582</v>
      </c>
      <c r="AN63" s="202">
        <v>63</v>
      </c>
      <c r="AO63" s="202">
        <v>66</v>
      </c>
      <c r="AP63" s="59">
        <v>15896</v>
      </c>
      <c r="AQ63" s="59">
        <v>24768.639999999999</v>
      </c>
      <c r="AR63" s="202">
        <v>39</v>
      </c>
      <c r="AS63" s="202">
        <v>39</v>
      </c>
      <c r="AT63" s="59"/>
      <c r="AU63" s="59"/>
      <c r="AV63" s="202"/>
      <c r="AW63" s="202"/>
      <c r="AX63" s="59"/>
      <c r="AY63" s="59"/>
      <c r="AZ63" s="202"/>
      <c r="BA63" s="202"/>
      <c r="BB63" s="59"/>
      <c r="BC63" s="59"/>
      <c r="BD63" s="202"/>
      <c r="BE63" s="202"/>
      <c r="BF63" s="199"/>
    </row>
    <row r="64" spans="1:58" s="200" customFormat="1" ht="42" customHeight="1" x14ac:dyDescent="0.2">
      <c r="A64" s="187"/>
      <c r="B64" s="63" t="s">
        <v>178</v>
      </c>
      <c r="C64" s="59"/>
      <c r="D64" s="59"/>
      <c r="E64" s="59">
        <v>200000</v>
      </c>
      <c r="F64" s="59">
        <f t="shared" si="25"/>
        <v>105321.70000000001</v>
      </c>
      <c r="G64" s="59">
        <f t="shared" si="25"/>
        <v>105321.70000000001</v>
      </c>
      <c r="H64" s="202">
        <v>194</v>
      </c>
      <c r="I64" s="202">
        <v>3000</v>
      </c>
      <c r="J64" s="59">
        <v>15000</v>
      </c>
      <c r="K64" s="59">
        <v>0</v>
      </c>
      <c r="L64" s="202">
        <v>101</v>
      </c>
      <c r="M64" s="202">
        <v>451</v>
      </c>
      <c r="N64" s="59">
        <v>15000</v>
      </c>
      <c r="O64" s="59">
        <v>30000</v>
      </c>
      <c r="P64" s="202">
        <v>47</v>
      </c>
      <c r="Q64" s="202">
        <v>99</v>
      </c>
      <c r="R64" s="59">
        <v>15000</v>
      </c>
      <c r="S64" s="59">
        <v>15000</v>
      </c>
      <c r="T64" s="202">
        <v>88</v>
      </c>
      <c r="U64" s="202">
        <v>437</v>
      </c>
      <c r="V64" s="59">
        <v>12613.4</v>
      </c>
      <c r="W64" s="59">
        <v>12613.4</v>
      </c>
      <c r="X64" s="202">
        <v>109</v>
      </c>
      <c r="Y64" s="202">
        <v>512</v>
      </c>
      <c r="Z64" s="65">
        <v>9541.66</v>
      </c>
      <c r="AA64" s="65">
        <v>9541.66</v>
      </c>
      <c r="AB64" s="202">
        <v>95</v>
      </c>
      <c r="AC64" s="202">
        <v>375</v>
      </c>
      <c r="AD64" s="65">
        <v>9541.66</v>
      </c>
      <c r="AE64" s="65">
        <v>9541.66</v>
      </c>
      <c r="AF64" s="202">
        <v>100</v>
      </c>
      <c r="AG64" s="202">
        <v>397</v>
      </c>
      <c r="AH64" s="59">
        <v>9541.66</v>
      </c>
      <c r="AI64" s="65"/>
      <c r="AJ64" s="202">
        <v>98</v>
      </c>
      <c r="AK64" s="202">
        <v>469</v>
      </c>
      <c r="AL64" s="65">
        <v>9541.66</v>
      </c>
      <c r="AM64" s="65">
        <v>9541.66</v>
      </c>
      <c r="AN64" s="202">
        <v>87</v>
      </c>
      <c r="AO64" s="202">
        <v>353</v>
      </c>
      <c r="AP64" s="59">
        <v>9541.66</v>
      </c>
      <c r="AQ64" s="59">
        <v>19083.32</v>
      </c>
      <c r="AR64" s="202">
        <v>97</v>
      </c>
      <c r="AS64" s="202">
        <v>443</v>
      </c>
      <c r="AT64" s="59"/>
      <c r="AU64" s="59"/>
      <c r="AV64" s="202"/>
      <c r="AW64" s="202"/>
      <c r="AX64" s="59"/>
      <c r="AY64" s="59"/>
      <c r="AZ64" s="202"/>
      <c r="BA64" s="202"/>
      <c r="BB64" s="59"/>
      <c r="BC64" s="59"/>
      <c r="BD64" s="202"/>
      <c r="BE64" s="202"/>
      <c r="BF64" s="199"/>
    </row>
    <row r="65" spans="1:58" s="200" customFormat="1" ht="54" customHeight="1" x14ac:dyDescent="0.2">
      <c r="A65" s="187"/>
      <c r="B65" s="224" t="s">
        <v>376</v>
      </c>
      <c r="C65" s="59"/>
      <c r="D65" s="59"/>
      <c r="E65" s="59">
        <v>3786500</v>
      </c>
      <c r="F65" s="59">
        <f t="shared" si="25"/>
        <v>2679178.65</v>
      </c>
      <c r="G65" s="59">
        <f t="shared" si="25"/>
        <v>2679178.65</v>
      </c>
      <c r="H65" s="202"/>
      <c r="I65" s="202"/>
      <c r="J65" s="59">
        <v>29334.05</v>
      </c>
      <c r="K65" s="59">
        <v>29334.05</v>
      </c>
      <c r="L65" s="225"/>
      <c r="M65" s="225"/>
      <c r="N65" s="59">
        <v>423060.78</v>
      </c>
      <c r="O65" s="59">
        <f>346644+21581.76+54835.02</f>
        <v>423060.78</v>
      </c>
      <c r="P65" s="225"/>
      <c r="Q65" s="225"/>
      <c r="R65" s="59">
        <v>779057.15</v>
      </c>
      <c r="S65" s="59">
        <f>35091.2+49500+116725.95+577740</f>
        <v>779057.15</v>
      </c>
      <c r="T65" s="225"/>
      <c r="U65" s="225"/>
      <c r="V65" s="59">
        <f>51560.42+8772.8+115500</f>
        <v>175833.22</v>
      </c>
      <c r="W65" s="59">
        <f>51560.42+8772.8+115500</f>
        <v>175833.22</v>
      </c>
      <c r="X65" s="225"/>
      <c r="Y65" s="225"/>
      <c r="Z65" s="65">
        <f>47427.95+120329</f>
        <v>167756.95000000001</v>
      </c>
      <c r="AA65" s="65">
        <f>47427.95+120329</f>
        <v>167756.95000000001</v>
      </c>
      <c r="AB65" s="225"/>
      <c r="AC65" s="225"/>
      <c r="AD65" s="65">
        <f>99000+577740</f>
        <v>676740</v>
      </c>
      <c r="AE65" s="65">
        <f>99000+577740</f>
        <v>676740</v>
      </c>
      <c r="AF65" s="225"/>
      <c r="AG65" s="225"/>
      <c r="AH65" s="65">
        <f>88990.34+66669.31+271736.85</f>
        <v>427396.5</v>
      </c>
      <c r="AI65" s="65">
        <f>88990.34+66669.31+271736.85</f>
        <v>427396.5</v>
      </c>
      <c r="AJ65" s="225"/>
      <c r="AK65" s="225"/>
      <c r="AL65" s="65"/>
      <c r="AM65" s="65"/>
      <c r="AN65" s="225"/>
      <c r="AO65" s="225"/>
      <c r="AP65" s="59"/>
      <c r="AQ65" s="59"/>
      <c r="AR65" s="225"/>
      <c r="AS65" s="225"/>
      <c r="AT65" s="59"/>
      <c r="AU65" s="59"/>
      <c r="AV65" s="225"/>
      <c r="AW65" s="225"/>
      <c r="AX65" s="59"/>
      <c r="AY65" s="59"/>
      <c r="AZ65" s="225"/>
      <c r="BA65" s="225"/>
      <c r="BB65" s="59"/>
      <c r="BC65" s="59"/>
      <c r="BD65" s="225"/>
      <c r="BE65" s="225"/>
      <c r="BF65" s="199"/>
    </row>
    <row r="66" spans="1:58" s="200" customFormat="1" ht="55.5" customHeight="1" x14ac:dyDescent="0.2">
      <c r="A66" s="187"/>
      <c r="B66" s="224" t="s">
        <v>377</v>
      </c>
      <c r="C66" s="59"/>
      <c r="D66" s="59"/>
      <c r="E66" s="59">
        <v>320000</v>
      </c>
      <c r="F66" s="59">
        <f t="shared" si="25"/>
        <v>166674.93</v>
      </c>
      <c r="G66" s="59">
        <f t="shared" si="25"/>
        <v>166674.93</v>
      </c>
      <c r="H66" s="202"/>
      <c r="I66" s="202"/>
      <c r="J66" s="59">
        <v>0</v>
      </c>
      <c r="K66" s="59">
        <v>0</v>
      </c>
      <c r="L66" s="225"/>
      <c r="M66" s="225"/>
      <c r="N66" s="59"/>
      <c r="O66" s="59"/>
      <c r="P66" s="225"/>
      <c r="Q66" s="225"/>
      <c r="R66" s="59">
        <v>7469.34</v>
      </c>
      <c r="S66" s="59">
        <f>3929.76+3539.58</f>
        <v>7469.34</v>
      </c>
      <c r="T66" s="225"/>
      <c r="U66" s="225"/>
      <c r="V66" s="59"/>
      <c r="W66" s="59"/>
      <c r="X66" s="225"/>
      <c r="Y66" s="225"/>
      <c r="Z66" s="65">
        <f>7998.45</f>
        <v>7998.45</v>
      </c>
      <c r="AA66" s="65">
        <f>7998.45</f>
        <v>7998.45</v>
      </c>
      <c r="AB66" s="225"/>
      <c r="AC66" s="225"/>
      <c r="AD66" s="65">
        <f>26439.99</f>
        <v>26439.99</v>
      </c>
      <c r="AE66" s="65">
        <f>26439.99</f>
        <v>26439.99</v>
      </c>
      <c r="AF66" s="225"/>
      <c r="AG66" s="225"/>
      <c r="AH66" s="65">
        <f>13729.65</f>
        <v>13729.65</v>
      </c>
      <c r="AI66" s="65">
        <f>13729.65</f>
        <v>13729.65</v>
      </c>
      <c r="AJ66" s="225"/>
      <c r="AK66" s="225"/>
      <c r="AL66" s="65"/>
      <c r="AM66" s="65"/>
      <c r="AN66" s="225"/>
      <c r="AO66" s="225"/>
      <c r="AP66" s="59">
        <v>111037.5</v>
      </c>
      <c r="AQ66" s="59">
        <v>111037.5</v>
      </c>
      <c r="AR66" s="225"/>
      <c r="AS66" s="225"/>
      <c r="AT66" s="59"/>
      <c r="AU66" s="59"/>
      <c r="AV66" s="225"/>
      <c r="AW66" s="225"/>
      <c r="AX66" s="59"/>
      <c r="AY66" s="59"/>
      <c r="AZ66" s="225"/>
      <c r="BA66" s="225"/>
      <c r="BB66" s="59"/>
      <c r="BC66" s="59"/>
      <c r="BD66" s="225"/>
      <c r="BE66" s="225"/>
      <c r="BF66" s="199"/>
    </row>
    <row r="67" spans="1:58" s="200" customFormat="1" ht="55.5" customHeight="1" x14ac:dyDescent="0.2">
      <c r="A67" s="187"/>
      <c r="B67" s="224" t="s">
        <v>378</v>
      </c>
      <c r="C67" s="59"/>
      <c r="D67" s="59"/>
      <c r="E67" s="59">
        <v>61000</v>
      </c>
      <c r="F67" s="59">
        <f t="shared" si="25"/>
        <v>15870</v>
      </c>
      <c r="G67" s="59">
        <f t="shared" si="25"/>
        <v>15870</v>
      </c>
      <c r="H67" s="202">
        <f>L67+P67++T67+X67</f>
        <v>0</v>
      </c>
      <c r="I67" s="202">
        <f>M67+Q67++U67+Y67</f>
        <v>42</v>
      </c>
      <c r="J67" s="59">
        <v>0</v>
      </c>
      <c r="K67" s="59">
        <v>0</v>
      </c>
      <c r="L67" s="225"/>
      <c r="M67" s="225"/>
      <c r="N67" s="59"/>
      <c r="O67" s="59"/>
      <c r="P67" s="225"/>
      <c r="Q67" s="225">
        <v>42</v>
      </c>
      <c r="R67" s="59"/>
      <c r="S67" s="59"/>
      <c r="T67" s="225"/>
      <c r="U67" s="225"/>
      <c r="V67" s="59">
        <f>15870</f>
        <v>15870</v>
      </c>
      <c r="W67" s="59">
        <f>15870</f>
        <v>15870</v>
      </c>
      <c r="X67" s="225"/>
      <c r="Y67" s="225"/>
      <c r="Z67" s="65"/>
      <c r="AA67" s="65"/>
      <c r="AB67" s="225"/>
      <c r="AC67" s="225"/>
      <c r="AD67" s="65"/>
      <c r="AE67" s="65"/>
      <c r="AF67" s="225"/>
      <c r="AG67" s="225"/>
      <c r="AH67" s="59"/>
      <c r="AI67" s="65"/>
      <c r="AJ67" s="225"/>
      <c r="AK67" s="225"/>
      <c r="AL67" s="65"/>
      <c r="AM67" s="65"/>
      <c r="AN67" s="225"/>
      <c r="AO67" s="225"/>
      <c r="AP67" s="59"/>
      <c r="AQ67" s="59"/>
      <c r="AR67" s="225"/>
      <c r="AS67" s="225"/>
      <c r="AT67" s="59"/>
      <c r="AU67" s="59"/>
      <c r="AV67" s="225"/>
      <c r="AW67" s="225"/>
      <c r="AX67" s="59"/>
      <c r="AY67" s="59"/>
      <c r="AZ67" s="225"/>
      <c r="BA67" s="225"/>
      <c r="BB67" s="59"/>
      <c r="BC67" s="59"/>
      <c r="BD67" s="225"/>
      <c r="BE67" s="225"/>
      <c r="BF67" s="199"/>
    </row>
    <row r="68" spans="1:58" s="200" customFormat="1" ht="55.5" customHeight="1" x14ac:dyDescent="0.2">
      <c r="A68" s="187"/>
      <c r="B68" s="224" t="s">
        <v>379</v>
      </c>
      <c r="C68" s="59"/>
      <c r="D68" s="59"/>
      <c r="E68" s="59">
        <v>48000</v>
      </c>
      <c r="F68" s="59">
        <f t="shared" si="25"/>
        <v>0</v>
      </c>
      <c r="G68" s="59">
        <f t="shared" si="25"/>
        <v>0</v>
      </c>
      <c r="H68" s="202"/>
      <c r="I68" s="202"/>
      <c r="J68" s="59">
        <v>0</v>
      </c>
      <c r="K68" s="59">
        <v>0</v>
      </c>
      <c r="L68" s="225"/>
      <c r="M68" s="225"/>
      <c r="N68" s="59"/>
      <c r="O68" s="59"/>
      <c r="P68" s="225"/>
      <c r="Q68" s="225"/>
      <c r="R68" s="59"/>
      <c r="S68" s="59"/>
      <c r="T68" s="225"/>
      <c r="U68" s="225"/>
      <c r="V68" s="59"/>
      <c r="W68" s="59"/>
      <c r="X68" s="225"/>
      <c r="Y68" s="225"/>
      <c r="Z68" s="65"/>
      <c r="AA68" s="65"/>
      <c r="AB68" s="225"/>
      <c r="AC68" s="225"/>
      <c r="AD68" s="65"/>
      <c r="AE68" s="65"/>
      <c r="AF68" s="225"/>
      <c r="AG68" s="225"/>
      <c r="AH68" s="59"/>
      <c r="AI68" s="65"/>
      <c r="AJ68" s="225"/>
      <c r="AK68" s="225"/>
      <c r="AL68" s="65"/>
      <c r="AM68" s="65"/>
      <c r="AN68" s="225"/>
      <c r="AO68" s="225"/>
      <c r="AP68" s="59"/>
      <c r="AQ68" s="59"/>
      <c r="AR68" s="225"/>
      <c r="AS68" s="225"/>
      <c r="AT68" s="59"/>
      <c r="AU68" s="59"/>
      <c r="AV68" s="225"/>
      <c r="AW68" s="225"/>
      <c r="AX68" s="59"/>
      <c r="AY68" s="59"/>
      <c r="AZ68" s="225"/>
      <c r="BA68" s="225"/>
      <c r="BB68" s="59"/>
      <c r="BC68" s="59"/>
      <c r="BD68" s="225"/>
      <c r="BE68" s="225"/>
      <c r="BF68" s="199"/>
    </row>
    <row r="69" spans="1:58" s="200" customFormat="1" ht="55.5" customHeight="1" x14ac:dyDescent="0.2">
      <c r="A69" s="187"/>
      <c r="B69" s="224" t="s">
        <v>380</v>
      </c>
      <c r="C69" s="59"/>
      <c r="D69" s="59"/>
      <c r="E69" s="59">
        <v>358500</v>
      </c>
      <c r="F69" s="59">
        <f t="shared" si="25"/>
        <v>206008.68</v>
      </c>
      <c r="G69" s="59">
        <f t="shared" si="25"/>
        <v>206008.68</v>
      </c>
      <c r="H69" s="202"/>
      <c r="I69" s="202"/>
      <c r="J69" s="59">
        <v>0</v>
      </c>
      <c r="K69" s="59">
        <v>0</v>
      </c>
      <c r="L69" s="225"/>
      <c r="M69" s="225"/>
      <c r="N69" s="59">
        <v>112003.2</v>
      </c>
      <c r="O69" s="59">
        <f>112003.2</f>
        <v>112003.2</v>
      </c>
      <c r="P69" s="225"/>
      <c r="Q69" s="225"/>
      <c r="R69" s="59"/>
      <c r="S69" s="59"/>
      <c r="T69" s="225"/>
      <c r="U69" s="225"/>
      <c r="V69" s="59"/>
      <c r="W69" s="59"/>
      <c r="X69" s="225"/>
      <c r="Y69" s="225"/>
      <c r="Z69" s="65"/>
      <c r="AA69" s="65"/>
      <c r="AB69" s="225"/>
      <c r="AC69" s="225"/>
      <c r="AD69" s="65"/>
      <c r="AE69" s="65"/>
      <c r="AF69" s="225"/>
      <c r="AG69" s="225"/>
      <c r="AH69" s="65">
        <f>94005.48</f>
        <v>94005.48</v>
      </c>
      <c r="AI69" s="65">
        <f>94005.48</f>
        <v>94005.48</v>
      </c>
      <c r="AJ69" s="225"/>
      <c r="AK69" s="225"/>
      <c r="AL69" s="65"/>
      <c r="AM69" s="65"/>
      <c r="AN69" s="225"/>
      <c r="AO69" s="225"/>
      <c r="AP69" s="59"/>
      <c r="AQ69" s="59"/>
      <c r="AR69" s="225"/>
      <c r="AS69" s="225"/>
      <c r="AT69" s="59"/>
      <c r="AU69" s="59"/>
      <c r="AV69" s="225"/>
      <c r="AW69" s="225"/>
      <c r="AX69" s="59"/>
      <c r="AY69" s="59"/>
      <c r="AZ69" s="225"/>
      <c r="BA69" s="225"/>
      <c r="BB69" s="59"/>
      <c r="BC69" s="59"/>
      <c r="BD69" s="225"/>
      <c r="BE69" s="225"/>
      <c r="BF69" s="199"/>
    </row>
    <row r="70" spans="1:58" s="200" customFormat="1" ht="55.5" customHeight="1" x14ac:dyDescent="0.2">
      <c r="A70" s="201"/>
      <c r="B70" s="224" t="s">
        <v>381</v>
      </c>
      <c r="C70" s="59"/>
      <c r="D70" s="59"/>
      <c r="E70" s="59">
        <v>485000</v>
      </c>
      <c r="F70" s="59">
        <f t="shared" si="25"/>
        <v>348592.66000000003</v>
      </c>
      <c r="G70" s="59">
        <f t="shared" si="25"/>
        <v>348592.66000000003</v>
      </c>
      <c r="H70" s="202"/>
      <c r="I70" s="202"/>
      <c r="J70" s="59">
        <v>0</v>
      </c>
      <c r="K70" s="59">
        <v>0</v>
      </c>
      <c r="L70" s="225"/>
      <c r="M70" s="225"/>
      <c r="N70" s="59">
        <v>54939.91</v>
      </c>
      <c r="O70" s="59">
        <f>5093+49846.91</f>
        <v>54939.91</v>
      </c>
      <c r="P70" s="225"/>
      <c r="Q70" s="225"/>
      <c r="R70" s="59"/>
      <c r="S70" s="59"/>
      <c r="T70" s="225"/>
      <c r="U70" s="225"/>
      <c r="V70" s="59">
        <f>51297.43</f>
        <v>51297.43</v>
      </c>
      <c r="W70" s="59">
        <f>51297.43</f>
        <v>51297.43</v>
      </c>
      <c r="X70" s="225"/>
      <c r="Y70" s="225"/>
      <c r="Z70" s="65"/>
      <c r="AA70" s="65"/>
      <c r="AB70" s="225"/>
      <c r="AC70" s="225"/>
      <c r="AD70" s="65">
        <f>154287.17</f>
        <v>154287.17000000001</v>
      </c>
      <c r="AE70" s="65">
        <f>154287.17</f>
        <v>154287.17000000001</v>
      </c>
      <c r="AF70" s="225"/>
      <c r="AG70" s="225"/>
      <c r="AH70" s="65"/>
      <c r="AI70" s="65"/>
      <c r="AJ70" s="225"/>
      <c r="AK70" s="225"/>
      <c r="AL70" s="65">
        <f>26845+17330</f>
        <v>44175</v>
      </c>
      <c r="AM70" s="65">
        <f>26845+17330</f>
        <v>44175</v>
      </c>
      <c r="AN70" s="225"/>
      <c r="AO70" s="225"/>
      <c r="AP70" s="59">
        <v>43893.15</v>
      </c>
      <c r="AQ70" s="59">
        <v>43893.15</v>
      </c>
      <c r="AR70" s="225"/>
      <c r="AS70" s="225"/>
      <c r="AT70" s="59"/>
      <c r="AU70" s="59"/>
      <c r="AV70" s="225"/>
      <c r="AW70" s="225"/>
      <c r="AX70" s="59"/>
      <c r="AY70" s="59"/>
      <c r="AZ70" s="225"/>
      <c r="BA70" s="225"/>
      <c r="BB70" s="59"/>
      <c r="BC70" s="59"/>
      <c r="BD70" s="225"/>
      <c r="BE70" s="225"/>
      <c r="BF70" s="199"/>
    </row>
    <row r="71" spans="1:58" s="200" customFormat="1" ht="55.5" customHeight="1" x14ac:dyDescent="0.2">
      <c r="A71" s="201"/>
      <c r="B71" s="224" t="s">
        <v>382</v>
      </c>
      <c r="C71" s="59"/>
      <c r="D71" s="59"/>
      <c r="E71" s="59">
        <v>219000</v>
      </c>
      <c r="F71" s="59">
        <f t="shared" si="25"/>
        <v>196188.4</v>
      </c>
      <c r="G71" s="59">
        <f t="shared" si="25"/>
        <v>196188.4</v>
      </c>
      <c r="H71" s="202"/>
      <c r="I71" s="202"/>
      <c r="J71" s="59">
        <v>0</v>
      </c>
      <c r="K71" s="59">
        <v>0</v>
      </c>
      <c r="L71" s="225"/>
      <c r="M71" s="225"/>
      <c r="N71" s="59"/>
      <c r="O71" s="59"/>
      <c r="P71" s="225"/>
      <c r="Q71" s="225"/>
      <c r="R71" s="59"/>
      <c r="S71" s="59"/>
      <c r="T71" s="225"/>
      <c r="U71" s="225"/>
      <c r="V71" s="59"/>
      <c r="W71" s="59"/>
      <c r="X71" s="225"/>
      <c r="Y71" s="225"/>
      <c r="Z71" s="65"/>
      <c r="AA71" s="65"/>
      <c r="AB71" s="225"/>
      <c r="AC71" s="225"/>
      <c r="AD71" s="65">
        <v>196188.4</v>
      </c>
      <c r="AE71" s="65">
        <v>196188.4</v>
      </c>
      <c r="AF71" s="225"/>
      <c r="AG71" s="225"/>
      <c r="AH71" s="65"/>
      <c r="AI71" s="65"/>
      <c r="AJ71" s="225"/>
      <c r="AK71" s="225"/>
      <c r="AL71" s="65"/>
      <c r="AM71" s="65"/>
      <c r="AN71" s="225"/>
      <c r="AO71" s="225"/>
      <c r="AP71" s="59"/>
      <c r="AQ71" s="59"/>
      <c r="AR71" s="225"/>
      <c r="AS71" s="225"/>
      <c r="AT71" s="59"/>
      <c r="AU71" s="59"/>
      <c r="AV71" s="225"/>
      <c r="AW71" s="225"/>
      <c r="AX71" s="59"/>
      <c r="AY71" s="59"/>
      <c r="AZ71" s="225"/>
      <c r="BA71" s="225"/>
      <c r="BB71" s="59"/>
      <c r="BC71" s="59"/>
      <c r="BD71" s="225"/>
      <c r="BE71" s="225"/>
      <c r="BF71" s="199"/>
    </row>
    <row r="72" spans="1:58" s="200" customFormat="1" ht="55.5" customHeight="1" x14ac:dyDescent="0.2">
      <c r="A72" s="187"/>
      <c r="B72" s="224" t="s">
        <v>383</v>
      </c>
      <c r="C72" s="59"/>
      <c r="D72" s="59"/>
      <c r="E72" s="59">
        <v>252000</v>
      </c>
      <c r="F72" s="59">
        <f t="shared" si="25"/>
        <v>162000</v>
      </c>
      <c r="G72" s="59">
        <f t="shared" si="25"/>
        <v>162000</v>
      </c>
      <c r="H72" s="202"/>
      <c r="I72" s="202"/>
      <c r="J72" s="210">
        <v>18000</v>
      </c>
      <c r="K72" s="210">
        <v>18000</v>
      </c>
      <c r="L72" s="202"/>
      <c r="M72" s="202"/>
      <c r="N72" s="210">
        <v>18000</v>
      </c>
      <c r="O72" s="210">
        <v>18000</v>
      </c>
      <c r="P72" s="202"/>
      <c r="Q72" s="202"/>
      <c r="R72" s="210">
        <v>27000</v>
      </c>
      <c r="S72" s="210">
        <f>18000+9000</f>
        <v>27000</v>
      </c>
      <c r="T72" s="202"/>
      <c r="U72" s="202"/>
      <c r="V72" s="210">
        <f>9000</f>
        <v>9000</v>
      </c>
      <c r="W72" s="210">
        <f>9000</f>
        <v>9000</v>
      </c>
      <c r="X72" s="202"/>
      <c r="Y72" s="202"/>
      <c r="Z72" s="211">
        <v>18000</v>
      </c>
      <c r="AA72" s="211">
        <v>18000</v>
      </c>
      <c r="AB72" s="202"/>
      <c r="AC72" s="202"/>
      <c r="AD72" s="211">
        <v>18000</v>
      </c>
      <c r="AE72" s="211">
        <v>18000</v>
      </c>
      <c r="AF72" s="202"/>
      <c r="AG72" s="202"/>
      <c r="AH72" s="211">
        <v>18000</v>
      </c>
      <c r="AI72" s="211">
        <v>18000</v>
      </c>
      <c r="AJ72" s="202"/>
      <c r="AK72" s="202"/>
      <c r="AL72" s="211">
        <v>18000</v>
      </c>
      <c r="AM72" s="211">
        <v>18000</v>
      </c>
      <c r="AN72" s="202"/>
      <c r="AO72" s="202"/>
      <c r="AP72" s="210">
        <v>18000</v>
      </c>
      <c r="AQ72" s="210">
        <v>18000</v>
      </c>
      <c r="AR72" s="202"/>
      <c r="AS72" s="202"/>
      <c r="AT72" s="210"/>
      <c r="AU72" s="210"/>
      <c r="AV72" s="202"/>
      <c r="AW72" s="202"/>
      <c r="AX72" s="210"/>
      <c r="AY72" s="210"/>
      <c r="AZ72" s="202"/>
      <c r="BA72" s="202"/>
      <c r="BB72" s="210"/>
      <c r="BC72" s="210"/>
      <c r="BD72" s="202"/>
      <c r="BE72" s="202"/>
      <c r="BF72" s="199"/>
    </row>
    <row r="73" spans="1:58" s="207" customFormat="1" ht="42" customHeight="1" x14ac:dyDescent="0.25">
      <c r="A73" s="194" t="s">
        <v>384</v>
      </c>
      <c r="B73" s="195" t="s">
        <v>3</v>
      </c>
      <c r="C73" s="196">
        <v>10500000</v>
      </c>
      <c r="D73" s="196">
        <v>10500000</v>
      </c>
      <c r="E73" s="196">
        <f t="shared" ref="E73:AG73" si="26">SUM(E74:E78)</f>
        <v>10500000</v>
      </c>
      <c r="F73" s="196">
        <f t="shared" si="26"/>
        <v>5656016.8940000003</v>
      </c>
      <c r="G73" s="196">
        <f t="shared" si="26"/>
        <v>5311303.87</v>
      </c>
      <c r="H73" s="198">
        <f t="shared" si="26"/>
        <v>11467</v>
      </c>
      <c r="I73" s="198">
        <f t="shared" si="26"/>
        <v>13055</v>
      </c>
      <c r="J73" s="196">
        <f t="shared" si="26"/>
        <v>600397.67000000004</v>
      </c>
      <c r="K73" s="196">
        <f t="shared" si="26"/>
        <v>576585.67000000004</v>
      </c>
      <c r="L73" s="198">
        <f t="shared" si="26"/>
        <v>1540</v>
      </c>
      <c r="M73" s="198">
        <f t="shared" si="26"/>
        <v>1704</v>
      </c>
      <c r="N73" s="196">
        <f t="shared" si="26"/>
        <v>679130.67</v>
      </c>
      <c r="O73" s="196">
        <f t="shared" si="26"/>
        <v>695420.65</v>
      </c>
      <c r="P73" s="198">
        <f t="shared" si="26"/>
        <v>1863</v>
      </c>
      <c r="Q73" s="198">
        <f t="shared" si="26"/>
        <v>2009</v>
      </c>
      <c r="R73" s="196">
        <f t="shared" si="26"/>
        <v>670298.65399999998</v>
      </c>
      <c r="S73" s="196">
        <f t="shared" si="26"/>
        <v>677820.65</v>
      </c>
      <c r="T73" s="198">
        <f t="shared" si="26"/>
        <v>1847</v>
      </c>
      <c r="U73" s="198">
        <f t="shared" si="26"/>
        <v>1969</v>
      </c>
      <c r="V73" s="196">
        <f t="shared" si="26"/>
        <v>661561.65</v>
      </c>
      <c r="W73" s="196">
        <f t="shared" si="26"/>
        <v>661561.65</v>
      </c>
      <c r="X73" s="198">
        <f t="shared" si="26"/>
        <v>1738</v>
      </c>
      <c r="Y73" s="198">
        <f t="shared" si="26"/>
        <v>1930</v>
      </c>
      <c r="Z73" s="226">
        <f t="shared" si="26"/>
        <v>665473.65</v>
      </c>
      <c r="AA73" s="226">
        <f t="shared" si="26"/>
        <v>654397.65</v>
      </c>
      <c r="AB73" s="198">
        <f t="shared" si="26"/>
        <v>1779</v>
      </c>
      <c r="AC73" s="198">
        <f t="shared" si="26"/>
        <v>1961</v>
      </c>
      <c r="AD73" s="226">
        <f t="shared" si="26"/>
        <v>643175.65</v>
      </c>
      <c r="AE73" s="226">
        <f t="shared" si="26"/>
        <v>583059.65</v>
      </c>
      <c r="AF73" s="198">
        <f t="shared" si="26"/>
        <v>1694</v>
      </c>
      <c r="AG73" s="198">
        <f t="shared" si="26"/>
        <v>1853</v>
      </c>
      <c r="AH73" s="196">
        <f>SUM(AH74:AH78)</f>
        <v>589182.65</v>
      </c>
      <c r="AI73" s="226">
        <f>SUM(AI74:AI78)</f>
        <v>660374.65</v>
      </c>
      <c r="AJ73" s="198">
        <f>SUM(AJ74:AJ78)</f>
        <v>1479</v>
      </c>
      <c r="AK73" s="198">
        <f t="shared" ref="AK73:BE73" si="27">SUM(AK74:AK78)</f>
        <v>1629</v>
      </c>
      <c r="AL73" s="226">
        <f t="shared" si="27"/>
        <v>409646.65</v>
      </c>
      <c r="AM73" s="226">
        <f t="shared" si="27"/>
        <v>258389.65</v>
      </c>
      <c r="AN73" s="198">
        <f t="shared" si="27"/>
        <v>953</v>
      </c>
      <c r="AO73" s="198">
        <f t="shared" si="27"/>
        <v>1029</v>
      </c>
      <c r="AP73" s="196">
        <v>737149.65</v>
      </c>
      <c r="AQ73" s="196">
        <v>543693.65</v>
      </c>
      <c r="AR73" s="198">
        <v>1522</v>
      </c>
      <c r="AS73" s="198">
        <v>1631</v>
      </c>
      <c r="AT73" s="196">
        <f t="shared" si="27"/>
        <v>0</v>
      </c>
      <c r="AU73" s="196">
        <f t="shared" si="27"/>
        <v>0</v>
      </c>
      <c r="AV73" s="198">
        <f t="shared" si="27"/>
        <v>0</v>
      </c>
      <c r="AW73" s="198">
        <f t="shared" si="27"/>
        <v>0</v>
      </c>
      <c r="AX73" s="196">
        <f t="shared" si="27"/>
        <v>0</v>
      </c>
      <c r="AY73" s="196">
        <f t="shared" si="27"/>
        <v>0</v>
      </c>
      <c r="AZ73" s="198">
        <f t="shared" si="27"/>
        <v>0</v>
      </c>
      <c r="BA73" s="198">
        <f t="shared" si="27"/>
        <v>0</v>
      </c>
      <c r="BB73" s="196">
        <f t="shared" si="27"/>
        <v>0</v>
      </c>
      <c r="BC73" s="196">
        <f t="shared" si="27"/>
        <v>0</v>
      </c>
      <c r="BD73" s="198">
        <f t="shared" si="27"/>
        <v>0</v>
      </c>
      <c r="BE73" s="198">
        <f t="shared" si="27"/>
        <v>0</v>
      </c>
      <c r="BF73" s="199"/>
    </row>
    <row r="74" spans="1:58" s="207" customFormat="1" ht="42" customHeight="1" x14ac:dyDescent="0.25">
      <c r="A74" s="187"/>
      <c r="B74" s="63" t="s">
        <v>201</v>
      </c>
      <c r="C74" s="59"/>
      <c r="D74" s="59"/>
      <c r="E74" s="59">
        <v>724600</v>
      </c>
      <c r="F74" s="59">
        <f t="shared" ref="F74:F91" si="28">J74+N74+R74+V74+Z74+AD74+AH74+AL74+AP74+AT74+AX74+BB74</f>
        <v>543447</v>
      </c>
      <c r="G74" s="59">
        <f>K74+O74+S74+W74+AA74+AE74+AI74+AM74+AQ74+AU74+AY74+BC74</f>
        <v>543447</v>
      </c>
      <c r="H74" s="202"/>
      <c r="I74" s="202"/>
      <c r="J74" s="59">
        <v>60383</v>
      </c>
      <c r="K74" s="59">
        <v>60383</v>
      </c>
      <c r="L74" s="202"/>
      <c r="M74" s="202"/>
      <c r="N74" s="59">
        <v>60383</v>
      </c>
      <c r="O74" s="59">
        <v>60383</v>
      </c>
      <c r="P74" s="202"/>
      <c r="Q74" s="202"/>
      <c r="R74" s="59">
        <v>60383</v>
      </c>
      <c r="S74" s="59">
        <v>60383</v>
      </c>
      <c r="T74" s="202"/>
      <c r="U74" s="202"/>
      <c r="V74" s="59">
        <v>60383</v>
      </c>
      <c r="W74" s="59">
        <v>60383</v>
      </c>
      <c r="X74" s="202"/>
      <c r="Y74" s="202"/>
      <c r="Z74" s="65">
        <v>60383</v>
      </c>
      <c r="AA74" s="65">
        <v>60383</v>
      </c>
      <c r="AB74" s="202"/>
      <c r="AC74" s="202"/>
      <c r="AD74" s="65">
        <v>60383</v>
      </c>
      <c r="AE74" s="65">
        <v>60383</v>
      </c>
      <c r="AF74" s="202"/>
      <c r="AG74" s="202"/>
      <c r="AH74" s="59">
        <v>60383</v>
      </c>
      <c r="AI74" s="65">
        <v>60383</v>
      </c>
      <c r="AJ74" s="202"/>
      <c r="AK74" s="202"/>
      <c r="AL74" s="65">
        <v>60383</v>
      </c>
      <c r="AM74" s="65">
        <v>60383</v>
      </c>
      <c r="AN74" s="202"/>
      <c r="AO74" s="202"/>
      <c r="AP74" s="59">
        <v>60383</v>
      </c>
      <c r="AQ74" s="59">
        <v>60383</v>
      </c>
      <c r="AR74" s="202"/>
      <c r="AS74" s="202"/>
      <c r="AT74" s="59"/>
      <c r="AU74" s="59"/>
      <c r="AV74" s="202"/>
      <c r="AW74" s="202"/>
      <c r="AX74" s="59"/>
      <c r="AY74" s="59"/>
      <c r="AZ74" s="202"/>
      <c r="BA74" s="202"/>
      <c r="BB74" s="59"/>
      <c r="BC74" s="59"/>
      <c r="BD74" s="202"/>
      <c r="BE74" s="202"/>
      <c r="BF74" s="199"/>
    </row>
    <row r="75" spans="1:58" s="207" customFormat="1" ht="42" customHeight="1" x14ac:dyDescent="0.25">
      <c r="A75" s="187"/>
      <c r="B75" s="63" t="s">
        <v>202</v>
      </c>
      <c r="C75" s="59"/>
      <c r="D75" s="59"/>
      <c r="E75" s="59">
        <v>8923200</v>
      </c>
      <c r="F75" s="59">
        <f t="shared" si="28"/>
        <v>4779420</v>
      </c>
      <c r="G75" s="59">
        <f>K75+O75+S75+W75+AA75+AE75+AI75+AM75+AQ75+AU75+AY75+BC75</f>
        <v>4434707</v>
      </c>
      <c r="H75" s="202">
        <v>11467</v>
      </c>
      <c r="I75" s="202">
        <v>13055</v>
      </c>
      <c r="J75" s="59">
        <v>502998</v>
      </c>
      <c r="K75" s="59">
        <v>479186</v>
      </c>
      <c r="L75" s="202">
        <v>1540</v>
      </c>
      <c r="M75" s="202">
        <v>1704</v>
      </c>
      <c r="N75" s="59">
        <v>581731</v>
      </c>
      <c r="O75" s="59">
        <v>598021</v>
      </c>
      <c r="P75" s="202">
        <v>1863</v>
      </c>
      <c r="Q75" s="202">
        <v>2009</v>
      </c>
      <c r="R75" s="59">
        <v>572899</v>
      </c>
      <c r="S75" s="59">
        <v>580421</v>
      </c>
      <c r="T75" s="202">
        <v>1847</v>
      </c>
      <c r="U75" s="202">
        <v>1969</v>
      </c>
      <c r="V75" s="59">
        <v>564162</v>
      </c>
      <c r="W75" s="59">
        <v>564162</v>
      </c>
      <c r="X75" s="202">
        <v>1738</v>
      </c>
      <c r="Y75" s="202">
        <v>1930</v>
      </c>
      <c r="Z75" s="65">
        <v>568074</v>
      </c>
      <c r="AA75" s="65">
        <v>556998</v>
      </c>
      <c r="AB75" s="202">
        <v>1779</v>
      </c>
      <c r="AC75" s="202">
        <v>1961</v>
      </c>
      <c r="AD75" s="65">
        <v>545776</v>
      </c>
      <c r="AE75" s="65">
        <v>485660</v>
      </c>
      <c r="AF75" s="202">
        <v>1694</v>
      </c>
      <c r="AG75" s="202">
        <v>1853</v>
      </c>
      <c r="AH75" s="59">
        <v>491783</v>
      </c>
      <c r="AI75" s="65">
        <v>562975</v>
      </c>
      <c r="AJ75" s="202">
        <v>1479</v>
      </c>
      <c r="AK75" s="202">
        <v>1629</v>
      </c>
      <c r="AL75" s="65">
        <v>312247</v>
      </c>
      <c r="AM75" s="65">
        <v>160990</v>
      </c>
      <c r="AN75" s="202">
        <v>953</v>
      </c>
      <c r="AO75" s="202">
        <v>1029</v>
      </c>
      <c r="AP75" s="59">
        <v>639750</v>
      </c>
      <c r="AQ75" s="59">
        <v>446294</v>
      </c>
      <c r="AR75" s="202">
        <v>1522</v>
      </c>
      <c r="AS75" s="202">
        <v>1631</v>
      </c>
      <c r="AT75" s="59"/>
      <c r="AU75" s="59"/>
      <c r="AV75" s="202"/>
      <c r="AW75" s="202"/>
      <c r="AX75" s="59"/>
      <c r="AY75" s="59"/>
      <c r="AZ75" s="202"/>
      <c r="BA75" s="202"/>
      <c r="BB75" s="59"/>
      <c r="BC75" s="59"/>
      <c r="BD75" s="202"/>
      <c r="BE75" s="202"/>
      <c r="BF75" s="199"/>
    </row>
    <row r="76" spans="1:58" s="207" customFormat="1" ht="42" customHeight="1" x14ac:dyDescent="0.25">
      <c r="A76" s="187"/>
      <c r="B76" s="63" t="s">
        <v>203</v>
      </c>
      <c r="C76" s="59"/>
      <c r="D76" s="59"/>
      <c r="E76" s="59">
        <v>444200</v>
      </c>
      <c r="F76" s="59">
        <f t="shared" si="28"/>
        <v>333149.89400000003</v>
      </c>
      <c r="G76" s="59">
        <f>K76+O76+S76+W76+AA76+AE76+AI76+AM76+AQ76+AU76+AY76+BC76</f>
        <v>333149.87</v>
      </c>
      <c r="H76" s="202"/>
      <c r="I76" s="202"/>
      <c r="J76" s="59">
        <v>37016.67</v>
      </c>
      <c r="K76" s="59">
        <v>37016.67</v>
      </c>
      <c r="L76" s="202"/>
      <c r="M76" s="202"/>
      <c r="N76" s="59">
        <v>37016.67</v>
      </c>
      <c r="O76" s="59">
        <v>37016.65</v>
      </c>
      <c r="P76" s="202"/>
      <c r="Q76" s="202"/>
      <c r="R76" s="59">
        <v>37016.654000000002</v>
      </c>
      <c r="S76" s="59">
        <v>37016.65</v>
      </c>
      <c r="T76" s="202"/>
      <c r="U76" s="202"/>
      <c r="V76" s="59">
        <v>37016.65</v>
      </c>
      <c r="W76" s="59">
        <v>37016.65</v>
      </c>
      <c r="X76" s="202"/>
      <c r="Y76" s="202"/>
      <c r="Z76" s="65">
        <v>37016.65</v>
      </c>
      <c r="AA76" s="65">
        <v>37016.65</v>
      </c>
      <c r="AB76" s="202"/>
      <c r="AC76" s="202"/>
      <c r="AD76" s="65">
        <v>37016.65</v>
      </c>
      <c r="AE76" s="65">
        <v>37016.65</v>
      </c>
      <c r="AF76" s="202"/>
      <c r="AG76" s="202"/>
      <c r="AH76" s="59">
        <v>37016.65</v>
      </c>
      <c r="AI76" s="65">
        <v>37016.65</v>
      </c>
      <c r="AJ76" s="202"/>
      <c r="AK76" s="202"/>
      <c r="AL76" s="65">
        <v>37016.65</v>
      </c>
      <c r="AM76" s="65">
        <v>37016.65</v>
      </c>
      <c r="AN76" s="202"/>
      <c r="AO76" s="202"/>
      <c r="AP76" s="59">
        <v>37016.65</v>
      </c>
      <c r="AQ76" s="59">
        <v>37016.65</v>
      </c>
      <c r="AR76" s="202"/>
      <c r="AS76" s="202"/>
      <c r="AT76" s="59"/>
      <c r="AU76" s="59"/>
      <c r="AV76" s="202"/>
      <c r="AW76" s="202"/>
      <c r="AX76" s="59"/>
      <c r="AY76" s="59"/>
      <c r="AZ76" s="202"/>
      <c r="BA76" s="202"/>
      <c r="BB76" s="59"/>
      <c r="BC76" s="59"/>
      <c r="BD76" s="202"/>
      <c r="BE76" s="202"/>
      <c r="BF76" s="199"/>
    </row>
    <row r="77" spans="1:58" s="207" customFormat="1" ht="42" customHeight="1" x14ac:dyDescent="0.25">
      <c r="A77" s="187"/>
      <c r="B77" s="63" t="s">
        <v>204</v>
      </c>
      <c r="C77" s="59"/>
      <c r="D77" s="59"/>
      <c r="E77" s="59">
        <v>400000</v>
      </c>
      <c r="F77" s="59">
        <f t="shared" si="28"/>
        <v>0</v>
      </c>
      <c r="G77" s="59">
        <f>K77+O77+S77+W77+AA77+AE77+AI77+AM77+AQ77+AU77+AY77+BC77</f>
        <v>0</v>
      </c>
      <c r="H77" s="202"/>
      <c r="I77" s="202"/>
      <c r="J77" s="59">
        <v>0</v>
      </c>
      <c r="K77" s="59">
        <v>0</v>
      </c>
      <c r="L77" s="202"/>
      <c r="M77" s="202"/>
      <c r="N77" s="59"/>
      <c r="O77" s="59"/>
      <c r="P77" s="202"/>
      <c r="Q77" s="202"/>
      <c r="R77" s="59"/>
      <c r="S77" s="59"/>
      <c r="T77" s="202"/>
      <c r="U77" s="202"/>
      <c r="V77" s="59"/>
      <c r="W77" s="59"/>
      <c r="X77" s="202"/>
      <c r="Y77" s="202"/>
      <c r="Z77" s="65"/>
      <c r="AA77" s="65"/>
      <c r="AB77" s="202"/>
      <c r="AC77" s="202"/>
      <c r="AD77" s="65"/>
      <c r="AE77" s="65"/>
      <c r="AF77" s="202"/>
      <c r="AG77" s="202"/>
      <c r="AH77" s="59"/>
      <c r="AI77" s="65"/>
      <c r="AJ77" s="202"/>
      <c r="AK77" s="202"/>
      <c r="AL77" s="65"/>
      <c r="AM77" s="65"/>
      <c r="AN77" s="202"/>
      <c r="AO77" s="202"/>
      <c r="AP77" s="59"/>
      <c r="AQ77" s="59"/>
      <c r="AR77" s="202"/>
      <c r="AS77" s="202"/>
      <c r="AT77" s="59"/>
      <c r="AU77" s="59"/>
      <c r="AV77" s="202"/>
      <c r="AW77" s="202"/>
      <c r="AX77" s="59"/>
      <c r="AY77" s="59"/>
      <c r="AZ77" s="202"/>
      <c r="BA77" s="202"/>
      <c r="BB77" s="59"/>
      <c r="BC77" s="59"/>
      <c r="BD77" s="202"/>
      <c r="BE77" s="202"/>
      <c r="BF77" s="199"/>
    </row>
    <row r="78" spans="1:58" s="207" customFormat="1" ht="42" customHeight="1" x14ac:dyDescent="0.25">
      <c r="A78" s="227"/>
      <c r="B78" s="63" t="s">
        <v>385</v>
      </c>
      <c r="C78" s="60"/>
      <c r="D78" s="60"/>
      <c r="E78" s="59">
        <v>8000</v>
      </c>
      <c r="F78" s="59">
        <f t="shared" si="28"/>
        <v>0</v>
      </c>
      <c r="G78" s="59">
        <f>K78+O78+S78+W78+AA78+AE78+AI78+AM78+AQ78+AU78+AY78+BC78</f>
        <v>0</v>
      </c>
      <c r="H78" s="202"/>
      <c r="I78" s="202"/>
      <c r="J78" s="59">
        <v>0</v>
      </c>
      <c r="K78" s="59">
        <v>0</v>
      </c>
      <c r="L78" s="202"/>
      <c r="M78" s="202"/>
      <c r="N78" s="59"/>
      <c r="O78" s="59"/>
      <c r="P78" s="202"/>
      <c r="Q78" s="202"/>
      <c r="R78" s="59"/>
      <c r="S78" s="59"/>
      <c r="T78" s="202"/>
      <c r="U78" s="202">
        <v>0</v>
      </c>
      <c r="V78" s="59">
        <v>0</v>
      </c>
      <c r="W78" s="59">
        <v>0</v>
      </c>
      <c r="X78" s="202">
        <v>0</v>
      </c>
      <c r="Y78" s="202">
        <v>0</v>
      </c>
      <c r="Z78" s="65">
        <v>0</v>
      </c>
      <c r="AA78" s="65">
        <v>0</v>
      </c>
      <c r="AB78" s="202">
        <v>0</v>
      </c>
      <c r="AC78" s="202">
        <v>0</v>
      </c>
      <c r="AD78" s="65">
        <v>0</v>
      </c>
      <c r="AE78" s="65">
        <v>0</v>
      </c>
      <c r="AF78" s="202">
        <v>0</v>
      </c>
      <c r="AG78" s="202">
        <v>0</v>
      </c>
      <c r="AH78" s="59"/>
      <c r="AI78" s="65"/>
      <c r="AJ78" s="202"/>
      <c r="AK78" s="202"/>
      <c r="AL78" s="65"/>
      <c r="AM78" s="65"/>
      <c r="AN78" s="202"/>
      <c r="AO78" s="202"/>
      <c r="AP78" s="59"/>
      <c r="AQ78" s="59"/>
      <c r="AR78" s="202"/>
      <c r="AS78" s="202"/>
      <c r="AT78" s="59"/>
      <c r="AU78" s="59"/>
      <c r="AV78" s="202"/>
      <c r="AW78" s="202"/>
      <c r="AX78" s="59"/>
      <c r="AY78" s="59"/>
      <c r="AZ78" s="202"/>
      <c r="BA78" s="202"/>
      <c r="BB78" s="59"/>
      <c r="BC78" s="59"/>
      <c r="BD78" s="202"/>
      <c r="BE78" s="202"/>
      <c r="BF78" s="199"/>
    </row>
    <row r="79" spans="1:58" s="207" customFormat="1" ht="42" customHeight="1" x14ac:dyDescent="0.25">
      <c r="A79" s="194" t="s">
        <v>208</v>
      </c>
      <c r="B79" s="195" t="s">
        <v>207</v>
      </c>
      <c r="C79" s="196">
        <v>26000000</v>
      </c>
      <c r="D79" s="196">
        <v>26000000</v>
      </c>
      <c r="E79" s="196">
        <f t="shared" ref="E79:BE79" si="29">SUM(E80:E83)</f>
        <v>26000000</v>
      </c>
      <c r="F79" s="196">
        <f>SUM(F80:F83)</f>
        <v>18004885.739999998</v>
      </c>
      <c r="G79" s="196">
        <f t="shared" si="29"/>
        <v>18005535.710000001</v>
      </c>
      <c r="H79" s="198">
        <f t="shared" si="29"/>
        <v>0</v>
      </c>
      <c r="I79" s="198">
        <f t="shared" si="29"/>
        <v>0</v>
      </c>
      <c r="J79" s="196">
        <f t="shared" si="29"/>
        <v>1850739.85</v>
      </c>
      <c r="K79" s="196">
        <f t="shared" si="29"/>
        <v>1732894.85</v>
      </c>
      <c r="L79" s="198">
        <f t="shared" si="29"/>
        <v>0</v>
      </c>
      <c r="M79" s="198">
        <f t="shared" si="29"/>
        <v>0</v>
      </c>
      <c r="N79" s="196">
        <f t="shared" si="29"/>
        <v>1993086.72</v>
      </c>
      <c r="O79" s="196">
        <f t="shared" si="29"/>
        <v>2102609.17</v>
      </c>
      <c r="P79" s="198">
        <f t="shared" si="29"/>
        <v>0</v>
      </c>
      <c r="Q79" s="198">
        <f t="shared" si="29"/>
        <v>0</v>
      </c>
      <c r="R79" s="196">
        <f t="shared" si="29"/>
        <v>2159992.4</v>
      </c>
      <c r="S79" s="196">
        <f t="shared" si="29"/>
        <v>2167404.9499999997</v>
      </c>
      <c r="T79" s="198">
        <f t="shared" si="29"/>
        <v>0</v>
      </c>
      <c r="U79" s="198">
        <f t="shared" si="29"/>
        <v>0</v>
      </c>
      <c r="V79" s="196">
        <f t="shared" si="29"/>
        <v>1940507.04</v>
      </c>
      <c r="W79" s="196">
        <f t="shared" si="29"/>
        <v>1941417.04</v>
      </c>
      <c r="X79" s="198">
        <f t="shared" si="29"/>
        <v>0</v>
      </c>
      <c r="Y79" s="198">
        <f t="shared" si="29"/>
        <v>0</v>
      </c>
      <c r="Z79" s="226">
        <f t="shared" si="29"/>
        <v>2001288.47</v>
      </c>
      <c r="AA79" s="226">
        <f t="shared" si="29"/>
        <v>2000638.47</v>
      </c>
      <c r="AB79" s="198">
        <f t="shared" si="29"/>
        <v>0</v>
      </c>
      <c r="AC79" s="198">
        <f t="shared" si="29"/>
        <v>0</v>
      </c>
      <c r="AD79" s="226">
        <f t="shared" si="29"/>
        <v>2073962.9700000002</v>
      </c>
      <c r="AE79" s="226">
        <f t="shared" si="29"/>
        <v>2035612.9700000002</v>
      </c>
      <c r="AF79" s="198">
        <f t="shared" si="29"/>
        <v>0</v>
      </c>
      <c r="AG79" s="198">
        <f t="shared" si="29"/>
        <v>0</v>
      </c>
      <c r="AH79" s="196">
        <f t="shared" si="29"/>
        <v>1984106.66</v>
      </c>
      <c r="AI79" s="226">
        <f t="shared" si="29"/>
        <v>2023756.66</v>
      </c>
      <c r="AJ79" s="198">
        <f t="shared" si="29"/>
        <v>0</v>
      </c>
      <c r="AK79" s="198">
        <f t="shared" si="29"/>
        <v>0</v>
      </c>
      <c r="AL79" s="226">
        <f t="shared" si="29"/>
        <v>1995613.79</v>
      </c>
      <c r="AM79" s="226">
        <f t="shared" si="29"/>
        <v>1956158.76</v>
      </c>
      <c r="AN79" s="198">
        <f t="shared" si="29"/>
        <v>0</v>
      </c>
      <c r="AO79" s="198">
        <f t="shared" si="29"/>
        <v>0</v>
      </c>
      <c r="AP79" s="196">
        <v>2005587.84</v>
      </c>
      <c r="AQ79" s="196">
        <v>2045042.84</v>
      </c>
      <c r="AR79" s="198">
        <v>0</v>
      </c>
      <c r="AS79" s="198">
        <v>0</v>
      </c>
      <c r="AT79" s="196">
        <f t="shared" si="29"/>
        <v>0</v>
      </c>
      <c r="AU79" s="196">
        <f t="shared" si="29"/>
        <v>0</v>
      </c>
      <c r="AV79" s="198">
        <f t="shared" si="29"/>
        <v>0</v>
      </c>
      <c r="AW79" s="198">
        <f t="shared" si="29"/>
        <v>0</v>
      </c>
      <c r="AX79" s="196">
        <f t="shared" si="29"/>
        <v>0</v>
      </c>
      <c r="AY79" s="196">
        <f t="shared" si="29"/>
        <v>0</v>
      </c>
      <c r="AZ79" s="198">
        <f t="shared" si="29"/>
        <v>0</v>
      </c>
      <c r="BA79" s="198">
        <f t="shared" si="29"/>
        <v>0</v>
      </c>
      <c r="BB79" s="196">
        <f t="shared" si="29"/>
        <v>0</v>
      </c>
      <c r="BC79" s="196">
        <f t="shared" si="29"/>
        <v>0</v>
      </c>
      <c r="BD79" s="198">
        <f t="shared" si="29"/>
        <v>0</v>
      </c>
      <c r="BE79" s="198">
        <f t="shared" si="29"/>
        <v>0</v>
      </c>
      <c r="BF79" s="199"/>
    </row>
    <row r="80" spans="1:58" s="207" customFormat="1" ht="42" customHeight="1" x14ac:dyDescent="0.25">
      <c r="A80" s="227"/>
      <c r="B80" s="64" t="s">
        <v>209</v>
      </c>
      <c r="C80" s="59"/>
      <c r="D80" s="59"/>
      <c r="E80" s="59">
        <v>19765200</v>
      </c>
      <c r="F80" s="59">
        <f t="shared" si="28"/>
        <v>13787546.299999999</v>
      </c>
      <c r="G80" s="59">
        <f>K80+O80+S80+W80+AA80+AE80+AI80+AM80+AQ80+AU80+AY80+BC80</f>
        <v>13788196.27</v>
      </c>
      <c r="H80" s="202"/>
      <c r="I80" s="202"/>
      <c r="J80" s="59">
        <v>1529819.85</v>
      </c>
      <c r="K80" s="59">
        <v>1411974.85</v>
      </c>
      <c r="L80" s="202"/>
      <c r="M80" s="202"/>
      <c r="N80" s="59">
        <v>1529905.24</v>
      </c>
      <c r="O80" s="59">
        <f>1645441.69-6014</f>
        <v>1639427.69</v>
      </c>
      <c r="P80" s="202"/>
      <c r="Q80" s="202"/>
      <c r="R80" s="59">
        <v>1531110.85</v>
      </c>
      <c r="S80" s="59">
        <v>1538523.4</v>
      </c>
      <c r="T80" s="202"/>
      <c r="U80" s="202"/>
      <c r="V80" s="59">
        <v>1534400.48</v>
      </c>
      <c r="W80" s="59">
        <v>1535310.48</v>
      </c>
      <c r="X80" s="202"/>
      <c r="Y80" s="202"/>
      <c r="Z80" s="65">
        <v>1534108.32</v>
      </c>
      <c r="AA80" s="65">
        <v>1533458.32</v>
      </c>
      <c r="AB80" s="202"/>
      <c r="AC80" s="202"/>
      <c r="AD80" s="65">
        <v>1533037.61</v>
      </c>
      <c r="AE80" s="65">
        <v>1533687.61</v>
      </c>
      <c r="AF80" s="202"/>
      <c r="AG80" s="202"/>
      <c r="AH80" s="59">
        <v>1531387.18</v>
      </c>
      <c r="AI80" s="65">
        <v>1532037.18</v>
      </c>
      <c r="AJ80" s="202"/>
      <c r="AK80" s="202"/>
      <c r="AL80" s="65">
        <v>1531162.01</v>
      </c>
      <c r="AM80" s="65">
        <v>1530706.98</v>
      </c>
      <c r="AN80" s="202"/>
      <c r="AO80" s="202"/>
      <c r="AP80" s="59">
        <v>1532614.76</v>
      </c>
      <c r="AQ80" s="59">
        <v>1533069.76</v>
      </c>
      <c r="AR80" s="202"/>
      <c r="AS80" s="202"/>
      <c r="AT80" s="59"/>
      <c r="AU80" s="59"/>
      <c r="AV80" s="202"/>
      <c r="AW80" s="202"/>
      <c r="AX80" s="59"/>
      <c r="AY80" s="59"/>
      <c r="AZ80" s="202"/>
      <c r="BA80" s="202"/>
      <c r="BB80" s="59"/>
      <c r="BC80" s="59"/>
      <c r="BD80" s="202"/>
      <c r="BE80" s="202"/>
      <c r="BF80" s="199"/>
    </row>
    <row r="81" spans="1:58" s="207" customFormat="1" ht="42" customHeight="1" x14ac:dyDescent="0.25">
      <c r="A81" s="227"/>
      <c r="B81" s="63" t="s">
        <v>210</v>
      </c>
      <c r="C81" s="59"/>
      <c r="D81" s="59"/>
      <c r="E81" s="59">
        <v>3675600</v>
      </c>
      <c r="F81" s="59">
        <f t="shared" si="28"/>
        <v>2755476</v>
      </c>
      <c r="G81" s="59">
        <f>K81+O81+S81+W81+AA81+AE81+AI81+AM81+AQ81+AU81+AY81+BC81</f>
        <v>2755476</v>
      </c>
      <c r="H81" s="202"/>
      <c r="I81" s="202"/>
      <c r="J81" s="59">
        <v>301844</v>
      </c>
      <c r="K81" s="59">
        <v>301844</v>
      </c>
      <c r="L81" s="202"/>
      <c r="M81" s="202"/>
      <c r="N81" s="59">
        <v>306704</v>
      </c>
      <c r="O81" s="59">
        <f>300690+6014</f>
        <v>306704</v>
      </c>
      <c r="P81" s="202"/>
      <c r="Q81" s="202"/>
      <c r="R81" s="59">
        <v>306704</v>
      </c>
      <c r="S81" s="59">
        <v>306704</v>
      </c>
      <c r="T81" s="202"/>
      <c r="U81" s="202"/>
      <c r="V81" s="59">
        <v>306704</v>
      </c>
      <c r="W81" s="59">
        <v>306704</v>
      </c>
      <c r="X81" s="202"/>
      <c r="Y81" s="202"/>
      <c r="Z81" s="65">
        <v>302851.20000000001</v>
      </c>
      <c r="AA81" s="65">
        <v>302851.20000000001</v>
      </c>
      <c r="AB81" s="202"/>
      <c r="AC81" s="202"/>
      <c r="AD81" s="65">
        <v>310556.79999999999</v>
      </c>
      <c r="AE81" s="65">
        <v>310556.79999999999</v>
      </c>
      <c r="AF81" s="202"/>
      <c r="AG81" s="202"/>
      <c r="AH81" s="59">
        <v>306704</v>
      </c>
      <c r="AI81" s="65">
        <v>306704</v>
      </c>
      <c r="AJ81" s="202"/>
      <c r="AK81" s="202"/>
      <c r="AL81" s="65">
        <v>306704</v>
      </c>
      <c r="AM81" s="65">
        <v>306704</v>
      </c>
      <c r="AN81" s="202"/>
      <c r="AO81" s="202"/>
      <c r="AP81" s="59">
        <v>306704</v>
      </c>
      <c r="AQ81" s="59">
        <v>306704</v>
      </c>
      <c r="AR81" s="202"/>
      <c r="AS81" s="202"/>
      <c r="AT81" s="59"/>
      <c r="AU81" s="59"/>
      <c r="AV81" s="202"/>
      <c r="AW81" s="202"/>
      <c r="AX81" s="59"/>
      <c r="AY81" s="59"/>
      <c r="AZ81" s="202"/>
      <c r="BA81" s="202"/>
      <c r="BB81" s="59"/>
      <c r="BC81" s="59"/>
      <c r="BD81" s="202"/>
      <c r="BE81" s="202"/>
      <c r="BF81" s="199"/>
    </row>
    <row r="82" spans="1:58" s="207" customFormat="1" ht="42" customHeight="1" x14ac:dyDescent="0.25">
      <c r="A82" s="227"/>
      <c r="B82" s="63" t="s">
        <v>211</v>
      </c>
      <c r="C82" s="59"/>
      <c r="D82" s="59"/>
      <c r="E82" s="59">
        <v>213200</v>
      </c>
      <c r="F82" s="59">
        <f>J82+N82+R82+V82+Z82+AD82+AH82+AL82+AP82+AT82+AX82+BB82</f>
        <v>164427</v>
      </c>
      <c r="G82" s="59">
        <f>K82+O82+S82+W82+AA82+AE82+AI82+AM82+AQ82+AU82+AY82+BC82</f>
        <v>164427</v>
      </c>
      <c r="H82" s="202"/>
      <c r="I82" s="202"/>
      <c r="J82" s="59">
        <v>19076</v>
      </c>
      <c r="K82" s="59">
        <v>19076</v>
      </c>
      <c r="L82" s="202"/>
      <c r="M82" s="202"/>
      <c r="N82" s="59">
        <v>27328</v>
      </c>
      <c r="O82" s="59">
        <v>27328</v>
      </c>
      <c r="P82" s="202"/>
      <c r="Q82" s="202"/>
      <c r="R82" s="59">
        <v>18828</v>
      </c>
      <c r="S82" s="59">
        <v>18828</v>
      </c>
      <c r="T82" s="202"/>
      <c r="U82" s="202"/>
      <c r="V82" s="59">
        <v>18828</v>
      </c>
      <c r="W82" s="59">
        <v>18828</v>
      </c>
      <c r="X82" s="202"/>
      <c r="Y82" s="202"/>
      <c r="Z82" s="65">
        <v>17171</v>
      </c>
      <c r="AA82" s="65">
        <v>17171</v>
      </c>
      <c r="AB82" s="202"/>
      <c r="AC82" s="202"/>
      <c r="AD82" s="65">
        <v>15784</v>
      </c>
      <c r="AE82" s="65">
        <v>15784</v>
      </c>
      <c r="AF82" s="228"/>
      <c r="AG82" s="202"/>
      <c r="AH82" s="59">
        <v>15804</v>
      </c>
      <c r="AI82" s="65">
        <v>15804</v>
      </c>
      <c r="AJ82" s="202"/>
      <c r="AK82" s="202"/>
      <c r="AL82" s="65">
        <v>15824</v>
      </c>
      <c r="AM82" s="65">
        <v>15824</v>
      </c>
      <c r="AN82" s="202"/>
      <c r="AO82" s="202"/>
      <c r="AP82" s="59">
        <v>15784</v>
      </c>
      <c r="AQ82" s="59">
        <v>15784</v>
      </c>
      <c r="AR82" s="202"/>
      <c r="AS82" s="202"/>
      <c r="AT82" s="59"/>
      <c r="AU82" s="59"/>
      <c r="AV82" s="202"/>
      <c r="AW82" s="202"/>
      <c r="AX82" s="59"/>
      <c r="AY82" s="59"/>
      <c r="AZ82" s="202"/>
      <c r="BA82" s="202"/>
      <c r="BB82" s="59"/>
      <c r="BC82" s="59"/>
      <c r="BD82" s="202"/>
      <c r="BE82" s="202"/>
      <c r="BF82" s="199"/>
    </row>
    <row r="83" spans="1:58" s="207" customFormat="1" ht="42" customHeight="1" x14ac:dyDescent="0.25">
      <c r="A83" s="227"/>
      <c r="B83" s="63" t="s">
        <v>212</v>
      </c>
      <c r="C83" s="59"/>
      <c r="D83" s="59"/>
      <c r="E83" s="59">
        <v>2346000</v>
      </c>
      <c r="F83" s="59">
        <f>J83+N83+R83+V83+Z83+AD83+AH83+AL83+AP83+AT83+AX83+BB83</f>
        <v>1297436.4400000002</v>
      </c>
      <c r="G83" s="59">
        <f>K83+O83+S83+W83+AA83+AE83+AI83+AM83+AQ83+AU83+AY83+BC83</f>
        <v>1297436.4400000002</v>
      </c>
      <c r="H83" s="202"/>
      <c r="I83" s="202"/>
      <c r="J83" s="59">
        <v>0</v>
      </c>
      <c r="K83" s="59">
        <v>0</v>
      </c>
      <c r="L83" s="202"/>
      <c r="M83" s="202"/>
      <c r="N83" s="59">
        <v>129149.48</v>
      </c>
      <c r="O83" s="59">
        <v>129149.48</v>
      </c>
      <c r="P83" s="202"/>
      <c r="Q83" s="202"/>
      <c r="R83" s="59">
        <v>303349.55</v>
      </c>
      <c r="S83" s="59">
        <v>303349.55</v>
      </c>
      <c r="T83" s="202"/>
      <c r="U83" s="202"/>
      <c r="V83" s="59">
        <v>80574.559999999998</v>
      </c>
      <c r="W83" s="59">
        <v>80574.559999999998</v>
      </c>
      <c r="X83" s="202"/>
      <c r="Y83" s="202"/>
      <c r="Z83" s="65">
        <v>147157.95000000001</v>
      </c>
      <c r="AA83" s="65">
        <v>147157.95000000001</v>
      </c>
      <c r="AB83" s="202"/>
      <c r="AC83" s="202"/>
      <c r="AD83" s="65">
        <v>214584.56</v>
      </c>
      <c r="AE83" s="65">
        <v>175584.56</v>
      </c>
      <c r="AF83" s="229"/>
      <c r="AG83" s="202"/>
      <c r="AH83" s="59">
        <v>130211.48</v>
      </c>
      <c r="AI83" s="65">
        <v>169211.48</v>
      </c>
      <c r="AJ83" s="202"/>
      <c r="AK83" s="202"/>
      <c r="AL83" s="65">
        <v>141923.78</v>
      </c>
      <c r="AM83" s="65">
        <v>102923.78</v>
      </c>
      <c r="AN83" s="202"/>
      <c r="AO83" s="202"/>
      <c r="AP83" s="59">
        <v>150485.07999999999</v>
      </c>
      <c r="AQ83" s="59">
        <v>189485.08</v>
      </c>
      <c r="AR83" s="202"/>
      <c r="AS83" s="202"/>
      <c r="AT83" s="59"/>
      <c r="AU83" s="59"/>
      <c r="AV83" s="202"/>
      <c r="AW83" s="202"/>
      <c r="AX83" s="59"/>
      <c r="AY83" s="59"/>
      <c r="AZ83" s="202"/>
      <c r="BA83" s="202"/>
      <c r="BB83" s="59"/>
      <c r="BC83" s="59"/>
      <c r="BD83" s="202"/>
      <c r="BE83" s="202"/>
      <c r="BF83" s="199"/>
    </row>
    <row r="84" spans="1:58" s="200" customFormat="1" ht="42" customHeight="1" x14ac:dyDescent="0.2">
      <c r="A84" s="194" t="s">
        <v>386</v>
      </c>
      <c r="B84" s="195" t="s">
        <v>223</v>
      </c>
      <c r="C84" s="196">
        <v>20000000</v>
      </c>
      <c r="D84" s="196">
        <v>20000000</v>
      </c>
      <c r="E84" s="196">
        <f t="shared" ref="E84:AG84" si="30">SUM(E85:E88)</f>
        <v>20000000</v>
      </c>
      <c r="F84" s="196">
        <f>SUM(F85:F88)</f>
        <v>18558792.939999998</v>
      </c>
      <c r="G84" s="196">
        <f t="shared" si="30"/>
        <v>19723744.379999999</v>
      </c>
      <c r="H84" s="198">
        <f t="shared" si="30"/>
        <v>4498</v>
      </c>
      <c r="I84" s="198">
        <f t="shared" si="30"/>
        <v>5501</v>
      </c>
      <c r="J84" s="196">
        <f t="shared" si="30"/>
        <v>1984408.1800000002</v>
      </c>
      <c r="K84" s="196">
        <f t="shared" si="30"/>
        <v>1977718.78</v>
      </c>
      <c r="L84" s="198">
        <f t="shared" si="30"/>
        <v>53</v>
      </c>
      <c r="M84" s="198">
        <f t="shared" si="30"/>
        <v>53</v>
      </c>
      <c r="N84" s="196">
        <f t="shared" si="30"/>
        <v>2714057.8699999996</v>
      </c>
      <c r="O84" s="196">
        <f t="shared" si="30"/>
        <v>2917432.7800000003</v>
      </c>
      <c r="P84" s="198">
        <f t="shared" si="30"/>
        <v>137</v>
      </c>
      <c r="Q84" s="198">
        <f t="shared" si="30"/>
        <v>138</v>
      </c>
      <c r="R84" s="196">
        <f>SUM(R85:R88)</f>
        <v>2715099.0700000003</v>
      </c>
      <c r="S84" s="196">
        <f t="shared" si="30"/>
        <v>2521261.31</v>
      </c>
      <c r="T84" s="198">
        <f t="shared" si="30"/>
        <v>475</v>
      </c>
      <c r="U84" s="198">
        <f t="shared" si="30"/>
        <v>487</v>
      </c>
      <c r="V84" s="196">
        <f t="shared" si="30"/>
        <v>1647018.21</v>
      </c>
      <c r="W84" s="196">
        <f t="shared" si="30"/>
        <v>2431129.21</v>
      </c>
      <c r="X84" s="198">
        <f t="shared" si="30"/>
        <v>385</v>
      </c>
      <c r="Y84" s="198">
        <f t="shared" si="30"/>
        <v>398</v>
      </c>
      <c r="Z84" s="226">
        <f t="shared" si="30"/>
        <v>746301.29999999993</v>
      </c>
      <c r="AA84" s="226">
        <f>SUM(AA85:AA88)</f>
        <v>690423.61</v>
      </c>
      <c r="AB84" s="198">
        <f t="shared" si="30"/>
        <v>101</v>
      </c>
      <c r="AC84" s="198">
        <f t="shared" si="30"/>
        <v>101</v>
      </c>
      <c r="AD84" s="226">
        <f t="shared" si="30"/>
        <v>2587888.7400000002</v>
      </c>
      <c r="AE84" s="226">
        <f t="shared" si="30"/>
        <v>2654909.9300000002</v>
      </c>
      <c r="AF84" s="198">
        <f t="shared" si="30"/>
        <v>400</v>
      </c>
      <c r="AG84" s="198">
        <f t="shared" si="30"/>
        <v>413</v>
      </c>
      <c r="AH84" s="196">
        <f>SUM(AH85:AH88)</f>
        <v>2124235.12</v>
      </c>
      <c r="AI84" s="226">
        <f>SUM(AI85:AI88)</f>
        <v>3661664.02</v>
      </c>
      <c r="AJ84" s="198">
        <f>SUM(AJ85:AJ88)</f>
        <v>537</v>
      </c>
      <c r="AK84" s="198">
        <f t="shared" ref="AK84:BE84" si="31">SUM(AK85:AK88)</f>
        <v>552</v>
      </c>
      <c r="AL84" s="226">
        <f t="shared" si="31"/>
        <v>2156287.3200000003</v>
      </c>
      <c r="AM84" s="226">
        <f t="shared" si="31"/>
        <v>1134773.58</v>
      </c>
      <c r="AN84" s="198">
        <f t="shared" si="31"/>
        <v>571</v>
      </c>
      <c r="AO84" s="198">
        <f t="shared" si="31"/>
        <v>596</v>
      </c>
      <c r="AP84" s="196">
        <v>1883497.1300000001</v>
      </c>
      <c r="AQ84" s="196">
        <v>1734431.1600000001</v>
      </c>
      <c r="AR84" s="198">
        <v>252</v>
      </c>
      <c r="AS84" s="198">
        <v>257</v>
      </c>
      <c r="AT84" s="196">
        <f t="shared" si="31"/>
        <v>0</v>
      </c>
      <c r="AU84" s="196">
        <f t="shared" si="31"/>
        <v>0</v>
      </c>
      <c r="AV84" s="198">
        <f t="shared" si="31"/>
        <v>0</v>
      </c>
      <c r="AW84" s="198">
        <f t="shared" si="31"/>
        <v>0</v>
      </c>
      <c r="AX84" s="196">
        <f t="shared" si="31"/>
        <v>0</v>
      </c>
      <c r="AY84" s="196">
        <f t="shared" si="31"/>
        <v>0</v>
      </c>
      <c r="AZ84" s="198">
        <f t="shared" si="31"/>
        <v>0</v>
      </c>
      <c r="BA84" s="198">
        <f t="shared" si="31"/>
        <v>0</v>
      </c>
      <c r="BB84" s="196">
        <f t="shared" si="31"/>
        <v>0</v>
      </c>
      <c r="BC84" s="196">
        <f t="shared" si="31"/>
        <v>0</v>
      </c>
      <c r="BD84" s="198">
        <f t="shared" si="31"/>
        <v>0</v>
      </c>
      <c r="BE84" s="198">
        <f t="shared" si="31"/>
        <v>0</v>
      </c>
      <c r="BF84" s="199"/>
    </row>
    <row r="85" spans="1:58" s="207" customFormat="1" ht="42" customHeight="1" x14ac:dyDescent="0.25">
      <c r="A85" s="205"/>
      <c r="B85" s="63" t="s">
        <v>225</v>
      </c>
      <c r="C85" s="59"/>
      <c r="D85" s="59"/>
      <c r="E85" s="59">
        <v>19665000</v>
      </c>
      <c r="F85" s="59">
        <f>J85+N85+R85+V85+Z85+AD85+AH85+AL85+AP85+AT85+AX85+BB85</f>
        <v>18321899.629999999</v>
      </c>
      <c r="G85" s="59">
        <f>K85+O85+S85+W85+AA85+AE85+AI85+AM85+AQ85+AU85+AY85+BC85</f>
        <v>19486851.07</v>
      </c>
      <c r="H85" s="202">
        <v>4498</v>
      </c>
      <c r="I85" s="202">
        <v>5501</v>
      </c>
      <c r="J85" s="59">
        <v>1958321.5100000002</v>
      </c>
      <c r="K85" s="59">
        <v>1952052.11</v>
      </c>
      <c r="L85" s="202">
        <v>53</v>
      </c>
      <c r="M85" s="202">
        <v>53</v>
      </c>
      <c r="N85" s="59">
        <v>2687804.5399999996</v>
      </c>
      <c r="O85" s="59">
        <v>2891179.45</v>
      </c>
      <c r="P85" s="202">
        <v>137</v>
      </c>
      <c r="Q85" s="202">
        <v>138</v>
      </c>
      <c r="R85" s="59">
        <f>2348845.74+340000</f>
        <v>2688845.74</v>
      </c>
      <c r="S85" s="59">
        <v>2494587.98</v>
      </c>
      <c r="T85" s="202">
        <v>475</v>
      </c>
      <c r="U85" s="202">
        <v>487</v>
      </c>
      <c r="V85" s="59">
        <v>1620764.88</v>
      </c>
      <c r="W85" s="59">
        <v>2404875.88</v>
      </c>
      <c r="X85" s="202">
        <v>385</v>
      </c>
      <c r="Y85" s="202">
        <v>398</v>
      </c>
      <c r="Z85" s="65">
        <v>720467.97</v>
      </c>
      <c r="AA85" s="65">
        <v>664590.28</v>
      </c>
      <c r="AB85" s="202">
        <v>101</v>
      </c>
      <c r="AC85" s="202">
        <v>101</v>
      </c>
      <c r="AD85" s="65">
        <v>2561215.41</v>
      </c>
      <c r="AE85" s="65">
        <v>2628236.6</v>
      </c>
      <c r="AF85" s="202">
        <v>400</v>
      </c>
      <c r="AG85" s="202">
        <v>413</v>
      </c>
      <c r="AH85" s="59">
        <v>2097201.79</v>
      </c>
      <c r="AI85" s="65">
        <v>3634630.69</v>
      </c>
      <c r="AJ85" s="202">
        <v>537</v>
      </c>
      <c r="AK85" s="202">
        <v>552</v>
      </c>
      <c r="AL85" s="65">
        <v>2129613.9900000002</v>
      </c>
      <c r="AM85" s="65">
        <v>1108100.25</v>
      </c>
      <c r="AN85" s="202">
        <v>571</v>
      </c>
      <c r="AO85" s="202">
        <v>596</v>
      </c>
      <c r="AP85" s="59">
        <v>1857663.8</v>
      </c>
      <c r="AQ85" s="59">
        <v>1708597.83</v>
      </c>
      <c r="AR85" s="202">
        <v>252</v>
      </c>
      <c r="AS85" s="202">
        <v>257</v>
      </c>
      <c r="AT85" s="59"/>
      <c r="AU85" s="59"/>
      <c r="AV85" s="202"/>
      <c r="AW85" s="202"/>
      <c r="AX85" s="59"/>
      <c r="AY85" s="59"/>
      <c r="AZ85" s="202"/>
      <c r="BA85" s="202"/>
      <c r="BB85" s="59"/>
      <c r="BC85" s="59"/>
      <c r="BD85" s="202"/>
      <c r="BE85" s="202"/>
      <c r="BF85" s="199"/>
    </row>
    <row r="86" spans="1:58" s="207" customFormat="1" ht="42" customHeight="1" x14ac:dyDescent="0.25">
      <c r="A86" s="205"/>
      <c r="B86" s="63" t="s">
        <v>226</v>
      </c>
      <c r="C86" s="59"/>
      <c r="D86" s="59"/>
      <c r="E86" s="59">
        <v>310000</v>
      </c>
      <c r="F86" s="59">
        <f t="shared" si="28"/>
        <v>232333.31000000006</v>
      </c>
      <c r="G86" s="59">
        <f>K86+O86+S86+W86+AA86+AE86+AI86+AM86+AQ86+AU86+AY86+BC86</f>
        <v>232333.31000000006</v>
      </c>
      <c r="H86" s="202"/>
      <c r="I86" s="202"/>
      <c r="J86" s="59">
        <v>25666.67</v>
      </c>
      <c r="K86" s="59">
        <v>25666.67</v>
      </c>
      <c r="L86" s="202"/>
      <c r="M86" s="202"/>
      <c r="N86" s="59">
        <v>25833.33</v>
      </c>
      <c r="O86" s="59">
        <v>25833.33</v>
      </c>
      <c r="P86" s="202"/>
      <c r="Q86" s="202"/>
      <c r="R86" s="59">
        <v>25833.33</v>
      </c>
      <c r="S86" s="59">
        <v>25833.33</v>
      </c>
      <c r="T86" s="202"/>
      <c r="U86" s="202"/>
      <c r="V86" s="59">
        <v>25833.33</v>
      </c>
      <c r="W86" s="59">
        <v>25833.33</v>
      </c>
      <c r="X86" s="202"/>
      <c r="Y86" s="202"/>
      <c r="Z86" s="65">
        <v>25833.33</v>
      </c>
      <c r="AA86" s="65">
        <v>25833.33</v>
      </c>
      <c r="AB86" s="202"/>
      <c r="AC86" s="202"/>
      <c r="AD86" s="65">
        <v>25833.33</v>
      </c>
      <c r="AE86" s="65">
        <v>25833.33</v>
      </c>
      <c r="AF86" s="202"/>
      <c r="AG86" s="202"/>
      <c r="AH86" s="59">
        <v>25833.33</v>
      </c>
      <c r="AI86" s="65">
        <v>25833.33</v>
      </c>
      <c r="AJ86" s="202"/>
      <c r="AK86" s="202"/>
      <c r="AL86" s="65">
        <v>25833.33</v>
      </c>
      <c r="AM86" s="65">
        <v>25833.33</v>
      </c>
      <c r="AN86" s="202"/>
      <c r="AO86" s="202"/>
      <c r="AP86" s="59">
        <v>25833.33</v>
      </c>
      <c r="AQ86" s="59">
        <v>25833.33</v>
      </c>
      <c r="AR86" s="202"/>
      <c r="AS86" s="202"/>
      <c r="AT86" s="59"/>
      <c r="AU86" s="59"/>
      <c r="AV86" s="202"/>
      <c r="AW86" s="202"/>
      <c r="AX86" s="59"/>
      <c r="AY86" s="59"/>
      <c r="AZ86" s="202"/>
      <c r="BA86" s="202"/>
      <c r="BB86" s="59"/>
      <c r="BC86" s="59"/>
      <c r="BD86" s="202"/>
      <c r="BE86" s="202"/>
      <c r="BF86" s="199"/>
    </row>
    <row r="87" spans="1:58" s="207" customFormat="1" ht="42" customHeight="1" x14ac:dyDescent="0.25">
      <c r="A87" s="205"/>
      <c r="B87" s="63" t="s">
        <v>227</v>
      </c>
      <c r="C87" s="59"/>
      <c r="D87" s="59"/>
      <c r="E87" s="59">
        <v>5000</v>
      </c>
      <c r="F87" s="59">
        <f t="shared" si="28"/>
        <v>3360</v>
      </c>
      <c r="G87" s="59">
        <f>K87+O87+S87+W87+AA87+AE87+AI87+AM87+AQ87+AU87+AY87+BC87</f>
        <v>3360</v>
      </c>
      <c r="H87" s="202"/>
      <c r="I87" s="202"/>
      <c r="J87" s="59">
        <v>420</v>
      </c>
      <c r="K87" s="59">
        <v>0</v>
      </c>
      <c r="L87" s="202"/>
      <c r="M87" s="202"/>
      <c r="N87" s="59">
        <v>420</v>
      </c>
      <c r="O87" s="59">
        <v>420</v>
      </c>
      <c r="P87" s="202"/>
      <c r="Q87" s="202"/>
      <c r="R87" s="59">
        <v>420</v>
      </c>
      <c r="S87" s="59">
        <v>840</v>
      </c>
      <c r="T87" s="202"/>
      <c r="U87" s="202"/>
      <c r="V87" s="59">
        <v>420</v>
      </c>
      <c r="W87" s="59">
        <v>420</v>
      </c>
      <c r="X87" s="202"/>
      <c r="Y87" s="202"/>
      <c r="Z87" s="65"/>
      <c r="AA87" s="65"/>
      <c r="AB87" s="202"/>
      <c r="AC87" s="202"/>
      <c r="AD87" s="65">
        <v>840</v>
      </c>
      <c r="AE87" s="65">
        <v>840</v>
      </c>
      <c r="AF87" s="202"/>
      <c r="AG87" s="202"/>
      <c r="AH87" s="59"/>
      <c r="AI87" s="65"/>
      <c r="AJ87" s="202"/>
      <c r="AK87" s="202"/>
      <c r="AL87" s="65">
        <v>840</v>
      </c>
      <c r="AM87" s="65">
        <v>840</v>
      </c>
      <c r="AN87" s="202"/>
      <c r="AO87" s="202"/>
      <c r="AP87" s="59"/>
      <c r="AQ87" s="59"/>
      <c r="AR87" s="202"/>
      <c r="AS87" s="202"/>
      <c r="AT87" s="59"/>
      <c r="AU87" s="59"/>
      <c r="AV87" s="202"/>
      <c r="AW87" s="202"/>
      <c r="AX87" s="59"/>
      <c r="AY87" s="59"/>
      <c r="AZ87" s="202"/>
      <c r="BA87" s="202"/>
      <c r="BB87" s="59"/>
      <c r="BC87" s="59"/>
      <c r="BD87" s="202"/>
      <c r="BE87" s="202"/>
      <c r="BF87" s="199"/>
    </row>
    <row r="88" spans="1:58" s="207" customFormat="1" ht="42" customHeight="1" x14ac:dyDescent="0.25">
      <c r="A88" s="205"/>
      <c r="B88" s="63" t="s">
        <v>228</v>
      </c>
      <c r="C88" s="59"/>
      <c r="D88" s="59"/>
      <c r="E88" s="59">
        <v>20000</v>
      </c>
      <c r="F88" s="59">
        <f t="shared" si="28"/>
        <v>1200</v>
      </c>
      <c r="G88" s="59">
        <f>K88+O88+S88+W88+AA88+AE88+AI88+AM88+AQ88+AU88+AY88+BC88</f>
        <v>1200</v>
      </c>
      <c r="H88" s="198"/>
      <c r="I88" s="198"/>
      <c r="J88" s="59">
        <v>0</v>
      </c>
      <c r="K88" s="59">
        <v>0</v>
      </c>
      <c r="L88" s="198"/>
      <c r="M88" s="198"/>
      <c r="N88" s="59"/>
      <c r="O88" s="59">
        <v>0</v>
      </c>
      <c r="P88" s="198"/>
      <c r="Q88" s="198"/>
      <c r="R88" s="59"/>
      <c r="S88" s="59">
        <v>0</v>
      </c>
      <c r="T88" s="198"/>
      <c r="U88" s="198"/>
      <c r="V88" s="59"/>
      <c r="W88" s="59"/>
      <c r="X88" s="198"/>
      <c r="Y88" s="198"/>
      <c r="Z88" s="65"/>
      <c r="AA88" s="65"/>
      <c r="AB88" s="198"/>
      <c r="AC88" s="198"/>
      <c r="AD88" s="65"/>
      <c r="AE88" s="65"/>
      <c r="AF88" s="198"/>
      <c r="AG88" s="198"/>
      <c r="AH88" s="65">
        <v>1200</v>
      </c>
      <c r="AI88" s="65">
        <v>1200</v>
      </c>
      <c r="AJ88" s="198"/>
      <c r="AK88" s="198"/>
      <c r="AL88" s="65"/>
      <c r="AM88" s="65"/>
      <c r="AN88" s="198"/>
      <c r="AO88" s="198"/>
      <c r="AP88" s="59"/>
      <c r="AQ88" s="59"/>
      <c r="AR88" s="198"/>
      <c r="AS88" s="198"/>
      <c r="AT88" s="59"/>
      <c r="AU88" s="59"/>
      <c r="AV88" s="198"/>
      <c r="AW88" s="198"/>
      <c r="AX88" s="59"/>
      <c r="AY88" s="59"/>
      <c r="AZ88" s="198"/>
      <c r="BA88" s="198"/>
      <c r="BB88" s="59"/>
      <c r="BC88" s="59"/>
      <c r="BD88" s="198"/>
      <c r="BE88" s="198"/>
      <c r="BF88" s="199"/>
    </row>
    <row r="89" spans="1:58" s="200" customFormat="1" ht="42" customHeight="1" x14ac:dyDescent="0.2">
      <c r="A89" s="194" t="s">
        <v>236</v>
      </c>
      <c r="B89" s="195" t="s">
        <v>233</v>
      </c>
      <c r="C89" s="196">
        <v>1000000</v>
      </c>
      <c r="D89" s="196">
        <v>1000000</v>
      </c>
      <c r="E89" s="196">
        <f t="shared" ref="E89:AG89" si="32">SUM(E90:E91)</f>
        <v>1000000</v>
      </c>
      <c r="F89" s="196">
        <f t="shared" si="32"/>
        <v>495684.57</v>
      </c>
      <c r="G89" s="196">
        <f t="shared" si="32"/>
        <v>495684.57</v>
      </c>
      <c r="H89" s="198">
        <f t="shared" si="32"/>
        <v>9858</v>
      </c>
      <c r="I89" s="198">
        <f t="shared" si="32"/>
        <v>9985</v>
      </c>
      <c r="J89" s="196">
        <f t="shared" si="32"/>
        <v>77567.12</v>
      </c>
      <c r="K89" s="196">
        <f t="shared" si="32"/>
        <v>76179.520000000004</v>
      </c>
      <c r="L89" s="198">
        <f t="shared" si="32"/>
        <v>2332</v>
      </c>
      <c r="M89" s="198">
        <f t="shared" si="32"/>
        <v>2332</v>
      </c>
      <c r="N89" s="196">
        <f t="shared" si="32"/>
        <v>541.23</v>
      </c>
      <c r="O89" s="196">
        <f t="shared" si="32"/>
        <v>1928.89</v>
      </c>
      <c r="P89" s="198">
        <f t="shared" si="32"/>
        <v>2</v>
      </c>
      <c r="Q89" s="198">
        <f t="shared" si="32"/>
        <v>2</v>
      </c>
      <c r="R89" s="196">
        <f t="shared" si="32"/>
        <v>60197.84</v>
      </c>
      <c r="S89" s="196">
        <f t="shared" si="32"/>
        <v>60197.84</v>
      </c>
      <c r="T89" s="198">
        <f t="shared" si="32"/>
        <v>1562</v>
      </c>
      <c r="U89" s="198">
        <f t="shared" si="32"/>
        <v>1563</v>
      </c>
      <c r="V89" s="196">
        <f t="shared" si="32"/>
        <v>69934.25</v>
      </c>
      <c r="W89" s="196">
        <f t="shared" si="32"/>
        <v>69934.25</v>
      </c>
      <c r="X89" s="198">
        <f t="shared" si="32"/>
        <v>1742</v>
      </c>
      <c r="Y89" s="198">
        <f t="shared" si="32"/>
        <v>1745</v>
      </c>
      <c r="Z89" s="226">
        <f t="shared" si="32"/>
        <v>60071.450000000004</v>
      </c>
      <c r="AA89" s="226">
        <f t="shared" si="32"/>
        <v>55529.54</v>
      </c>
      <c r="AB89" s="198">
        <f t="shared" si="32"/>
        <v>1554</v>
      </c>
      <c r="AC89" s="198">
        <f t="shared" si="32"/>
        <v>1555</v>
      </c>
      <c r="AD89" s="226">
        <f t="shared" si="32"/>
        <v>100164.70999999999</v>
      </c>
      <c r="AE89" s="226">
        <f t="shared" si="32"/>
        <v>101018.62</v>
      </c>
      <c r="AF89" s="198">
        <f t="shared" si="32"/>
        <v>2671</v>
      </c>
      <c r="AG89" s="198">
        <f t="shared" si="32"/>
        <v>2673</v>
      </c>
      <c r="AH89" s="196">
        <f>SUM(AH90:AH91)</f>
        <v>88999.69</v>
      </c>
      <c r="AI89" s="226">
        <f>SUM(AI90:AI91)</f>
        <v>92388.390000000014</v>
      </c>
      <c r="AJ89" s="198">
        <f>SUM(AJ90:AJ91)</f>
        <v>2435</v>
      </c>
      <c r="AK89" s="198">
        <f t="shared" ref="AK89:BE89" si="33">SUM(AK90:AK91)</f>
        <v>2439</v>
      </c>
      <c r="AL89" s="226">
        <f t="shared" si="33"/>
        <v>167</v>
      </c>
      <c r="AM89" s="226">
        <f t="shared" si="33"/>
        <v>466.24</v>
      </c>
      <c r="AN89" s="198">
        <f t="shared" si="33"/>
        <v>1</v>
      </c>
      <c r="AO89" s="198">
        <f t="shared" si="33"/>
        <v>1</v>
      </c>
      <c r="AP89" s="196">
        <v>38041.279999999999</v>
      </c>
      <c r="AQ89" s="196">
        <v>38041.279999999999</v>
      </c>
      <c r="AR89" s="198">
        <v>995</v>
      </c>
      <c r="AS89" s="198">
        <v>996</v>
      </c>
      <c r="AT89" s="196">
        <f t="shared" si="33"/>
        <v>0</v>
      </c>
      <c r="AU89" s="196">
        <f t="shared" si="33"/>
        <v>0</v>
      </c>
      <c r="AV89" s="198">
        <f t="shared" si="33"/>
        <v>0</v>
      </c>
      <c r="AW89" s="198">
        <f t="shared" si="33"/>
        <v>0</v>
      </c>
      <c r="AX89" s="196">
        <f t="shared" si="33"/>
        <v>0</v>
      </c>
      <c r="AY89" s="196">
        <f t="shared" si="33"/>
        <v>0</v>
      </c>
      <c r="AZ89" s="198">
        <f t="shared" si="33"/>
        <v>0</v>
      </c>
      <c r="BA89" s="198">
        <f t="shared" si="33"/>
        <v>0</v>
      </c>
      <c r="BB89" s="196">
        <f t="shared" si="33"/>
        <v>0</v>
      </c>
      <c r="BC89" s="196">
        <f t="shared" si="33"/>
        <v>0</v>
      </c>
      <c r="BD89" s="198">
        <f t="shared" si="33"/>
        <v>0</v>
      </c>
      <c r="BE89" s="198">
        <f t="shared" si="33"/>
        <v>0</v>
      </c>
      <c r="BF89" s="199"/>
    </row>
    <row r="90" spans="1:58" s="207" customFormat="1" ht="42" customHeight="1" x14ac:dyDescent="0.25">
      <c r="A90" s="205"/>
      <c r="B90" s="221" t="s">
        <v>234</v>
      </c>
      <c r="C90" s="196"/>
      <c r="D90" s="196"/>
      <c r="E90" s="59">
        <v>800000</v>
      </c>
      <c r="F90" s="59">
        <f t="shared" si="28"/>
        <v>412680.47000000003</v>
      </c>
      <c r="G90" s="59">
        <f>K90+O90+S90+W90+AA90+AE90+AI90+AM90+AQ90+AU90+AY90+BC90</f>
        <v>412680.47000000003</v>
      </c>
      <c r="H90" s="202">
        <v>9075</v>
      </c>
      <c r="I90" s="202">
        <v>9177</v>
      </c>
      <c r="J90" s="59">
        <v>63615.33</v>
      </c>
      <c r="K90" s="59">
        <v>63615.33</v>
      </c>
      <c r="L90" s="202">
        <v>2221</v>
      </c>
      <c r="M90" s="202">
        <v>2221</v>
      </c>
      <c r="N90" s="59">
        <v>0</v>
      </c>
      <c r="O90" s="59">
        <v>0</v>
      </c>
      <c r="P90" s="202"/>
      <c r="Q90" s="202"/>
      <c r="R90" s="59">
        <v>53408.46</v>
      </c>
      <c r="S90" s="59">
        <v>53408.46</v>
      </c>
      <c r="T90" s="202">
        <v>1487</v>
      </c>
      <c r="U90" s="202">
        <v>1488</v>
      </c>
      <c r="V90" s="59">
        <v>51479</v>
      </c>
      <c r="W90" s="59">
        <v>51479</v>
      </c>
      <c r="X90" s="202">
        <v>1580</v>
      </c>
      <c r="Y90" s="202">
        <v>1582</v>
      </c>
      <c r="Z90" s="65">
        <v>47598.66</v>
      </c>
      <c r="AA90" s="65">
        <v>47598.66</v>
      </c>
      <c r="AB90" s="230">
        <v>1444</v>
      </c>
      <c r="AC90" s="230">
        <v>1444</v>
      </c>
      <c r="AD90" s="65">
        <v>85395.43</v>
      </c>
      <c r="AE90" s="65">
        <v>85395.43</v>
      </c>
      <c r="AF90" s="202">
        <v>2486</v>
      </c>
      <c r="AG90" s="202">
        <v>2486</v>
      </c>
      <c r="AH90" s="59">
        <v>76980.710000000006</v>
      </c>
      <c r="AI90" s="65">
        <v>76980.710000000006</v>
      </c>
      <c r="AJ90" s="202">
        <v>2280</v>
      </c>
      <c r="AK90" s="202">
        <v>2282</v>
      </c>
      <c r="AL90" s="65">
        <v>0</v>
      </c>
      <c r="AM90" s="65">
        <v>0</v>
      </c>
      <c r="AN90" s="202"/>
      <c r="AO90" s="202"/>
      <c r="AP90" s="59">
        <v>34202.879999999997</v>
      </c>
      <c r="AQ90" s="59">
        <v>34202.879999999997</v>
      </c>
      <c r="AR90" s="202">
        <v>940</v>
      </c>
      <c r="AS90" s="202">
        <v>940</v>
      </c>
      <c r="AT90" s="59"/>
      <c r="AU90" s="59"/>
      <c r="AV90" s="202"/>
      <c r="AW90" s="202"/>
      <c r="AX90" s="59"/>
      <c r="AY90" s="59"/>
      <c r="AZ90" s="202"/>
      <c r="BA90" s="202"/>
      <c r="BB90" s="59"/>
      <c r="BC90" s="59"/>
      <c r="BD90" s="202"/>
      <c r="BE90" s="202"/>
      <c r="BF90" s="199"/>
    </row>
    <row r="91" spans="1:58" s="207" customFormat="1" ht="42" customHeight="1" x14ac:dyDescent="0.25">
      <c r="A91" s="205"/>
      <c r="B91" s="221" t="s">
        <v>235</v>
      </c>
      <c r="C91" s="196"/>
      <c r="D91" s="196"/>
      <c r="E91" s="59">
        <v>200000</v>
      </c>
      <c r="F91" s="59">
        <f t="shared" si="28"/>
        <v>83004.099999999991</v>
      </c>
      <c r="G91" s="59">
        <f>K91+O91+S91+W91+AA91+AE91+AI91+AM91+AQ91+AU91+AY91+BC91</f>
        <v>83004.099999999991</v>
      </c>
      <c r="H91" s="202">
        <v>783</v>
      </c>
      <c r="I91" s="202">
        <v>808</v>
      </c>
      <c r="J91" s="59">
        <v>13951.79</v>
      </c>
      <c r="K91" s="59">
        <v>12564.19</v>
      </c>
      <c r="L91" s="202">
        <v>111</v>
      </c>
      <c r="M91" s="202">
        <v>111</v>
      </c>
      <c r="N91" s="59">
        <f>438.3+102.93</f>
        <v>541.23</v>
      </c>
      <c r="O91" s="59">
        <v>1928.89</v>
      </c>
      <c r="P91" s="202">
        <v>2</v>
      </c>
      <c r="Q91" s="202">
        <v>2</v>
      </c>
      <c r="R91" s="59">
        <v>6789.38</v>
      </c>
      <c r="S91" s="59">
        <v>6789.38</v>
      </c>
      <c r="T91" s="202">
        <v>75</v>
      </c>
      <c r="U91" s="202">
        <v>75</v>
      </c>
      <c r="V91" s="59">
        <v>18455.25</v>
      </c>
      <c r="W91" s="59">
        <v>18455.25</v>
      </c>
      <c r="X91" s="202">
        <v>162</v>
      </c>
      <c r="Y91" s="202">
        <v>163</v>
      </c>
      <c r="Z91" s="65">
        <v>12472.79</v>
      </c>
      <c r="AA91" s="65">
        <v>7930.88</v>
      </c>
      <c r="AB91" s="202">
        <v>110</v>
      </c>
      <c r="AC91" s="202">
        <v>111</v>
      </c>
      <c r="AD91" s="65">
        <v>14769.28</v>
      </c>
      <c r="AE91" s="65">
        <v>15623.19</v>
      </c>
      <c r="AF91" s="202">
        <v>185</v>
      </c>
      <c r="AG91" s="202">
        <v>187</v>
      </c>
      <c r="AH91" s="59">
        <v>12018.98</v>
      </c>
      <c r="AI91" s="65">
        <v>15407.68</v>
      </c>
      <c r="AJ91" s="202">
        <v>155</v>
      </c>
      <c r="AK91" s="202">
        <v>157</v>
      </c>
      <c r="AL91" s="65">
        <v>167</v>
      </c>
      <c r="AM91" s="65">
        <v>466.24</v>
      </c>
      <c r="AN91" s="202">
        <v>1</v>
      </c>
      <c r="AO91" s="202">
        <v>1</v>
      </c>
      <c r="AP91" s="59">
        <v>3838.4</v>
      </c>
      <c r="AQ91" s="59">
        <v>3838.4</v>
      </c>
      <c r="AR91" s="202">
        <v>55</v>
      </c>
      <c r="AS91" s="202">
        <v>56</v>
      </c>
      <c r="AT91" s="59"/>
      <c r="AU91" s="59"/>
      <c r="AV91" s="202"/>
      <c r="AW91" s="202"/>
      <c r="AX91" s="59"/>
      <c r="AY91" s="59"/>
      <c r="AZ91" s="202"/>
      <c r="BA91" s="202"/>
      <c r="BB91" s="59"/>
      <c r="BC91" s="59"/>
      <c r="BD91" s="202"/>
      <c r="BE91" s="202"/>
      <c r="BF91" s="199"/>
    </row>
    <row r="92" spans="1:58" s="220" customFormat="1" ht="42" customHeight="1" x14ac:dyDescent="0.25">
      <c r="A92" s="231"/>
      <c r="B92" s="232" t="s">
        <v>294</v>
      </c>
      <c r="C92" s="196">
        <f>SUM(C4:C91)</f>
        <v>181816000</v>
      </c>
      <c r="D92" s="196">
        <f>SUM(D4:D91)</f>
        <v>180436000</v>
      </c>
      <c r="E92" s="196">
        <f>E4+E6+E10+E13+E21+E32+E40+E46+E28+E48+E56+E61+E73+E79+E84+E89</f>
        <v>180592000</v>
      </c>
      <c r="F92" s="196">
        <f t="shared" ref="F92:BE92" si="34">F4+F6+F10+F13+F21+F32+F40+F46+F28+F48+F56+F61+F73+F79+F84+F89</f>
        <v>123132396.874</v>
      </c>
      <c r="G92" s="196">
        <f t="shared" si="34"/>
        <v>123230221.37</v>
      </c>
      <c r="H92" s="196">
        <f t="shared" si="34"/>
        <v>183259</v>
      </c>
      <c r="I92" s="196">
        <f t="shared" si="34"/>
        <v>910750</v>
      </c>
      <c r="J92" s="196">
        <f t="shared" si="34"/>
        <v>12082425.279999997</v>
      </c>
      <c r="K92" s="196">
        <f t="shared" si="34"/>
        <v>10752392.76</v>
      </c>
      <c r="L92" s="196">
        <f t="shared" si="34"/>
        <v>50643</v>
      </c>
      <c r="M92" s="196">
        <f t="shared" si="34"/>
        <v>134297</v>
      </c>
      <c r="N92" s="196">
        <f t="shared" si="34"/>
        <v>13194146.42</v>
      </c>
      <c r="O92" s="196">
        <f t="shared" si="34"/>
        <v>14309165.609999999</v>
      </c>
      <c r="P92" s="196">
        <f t="shared" si="34"/>
        <v>47401</v>
      </c>
      <c r="Q92" s="196">
        <f t="shared" si="34"/>
        <v>119311</v>
      </c>
      <c r="R92" s="196">
        <f t="shared" si="34"/>
        <v>14581973.084000001</v>
      </c>
      <c r="S92" s="196">
        <f t="shared" si="34"/>
        <v>13436631.99</v>
      </c>
      <c r="T92" s="196">
        <f t="shared" si="34"/>
        <v>53610</v>
      </c>
      <c r="U92" s="196">
        <f t="shared" si="34"/>
        <v>126895</v>
      </c>
      <c r="V92" s="196">
        <f t="shared" si="34"/>
        <v>14997934.640000001</v>
      </c>
      <c r="W92" s="196">
        <f t="shared" si="34"/>
        <v>16692589.84</v>
      </c>
      <c r="X92" s="196">
        <f t="shared" si="34"/>
        <v>54945</v>
      </c>
      <c r="Y92" s="196">
        <f t="shared" si="34"/>
        <v>138063</v>
      </c>
      <c r="Z92" s="196">
        <f t="shared" si="34"/>
        <v>11800716.890000001</v>
      </c>
      <c r="AA92" s="196">
        <f t="shared" si="34"/>
        <v>11598642.899999999</v>
      </c>
      <c r="AB92" s="196">
        <f t="shared" si="34"/>
        <v>48823</v>
      </c>
      <c r="AC92" s="196">
        <f t="shared" si="34"/>
        <v>127148</v>
      </c>
      <c r="AD92" s="196">
        <f t="shared" si="34"/>
        <v>15630084.230000002</v>
      </c>
      <c r="AE92" s="196">
        <f t="shared" si="34"/>
        <v>15746369.5</v>
      </c>
      <c r="AF92" s="196">
        <f t="shared" si="34"/>
        <v>57804</v>
      </c>
      <c r="AG92" s="196">
        <f t="shared" si="34"/>
        <v>141326</v>
      </c>
      <c r="AH92" s="196">
        <f t="shared" si="34"/>
        <v>14077574.139999999</v>
      </c>
      <c r="AI92" s="196">
        <f t="shared" si="34"/>
        <v>16031626.67</v>
      </c>
      <c r="AJ92" s="196">
        <f t="shared" si="34"/>
        <v>49371</v>
      </c>
      <c r="AK92" s="196">
        <f t="shared" si="34"/>
        <v>125284</v>
      </c>
      <c r="AL92" s="196">
        <f t="shared" si="34"/>
        <v>12895904.57</v>
      </c>
      <c r="AM92" s="196">
        <f t="shared" si="34"/>
        <v>11662788.74</v>
      </c>
      <c r="AN92" s="196">
        <f t="shared" si="34"/>
        <v>44153</v>
      </c>
      <c r="AO92" s="196">
        <f t="shared" si="34"/>
        <v>125922</v>
      </c>
      <c r="AP92" s="196">
        <f t="shared" si="34"/>
        <v>13871637.620000001</v>
      </c>
      <c r="AQ92" s="196">
        <f t="shared" si="34"/>
        <v>13000013.359999998</v>
      </c>
      <c r="AR92" s="196">
        <f t="shared" si="34"/>
        <v>43962</v>
      </c>
      <c r="AS92" s="196">
        <f t="shared" si="34"/>
        <v>127308</v>
      </c>
      <c r="AT92" s="196">
        <f t="shared" si="34"/>
        <v>0</v>
      </c>
      <c r="AU92" s="196">
        <f t="shared" si="34"/>
        <v>0</v>
      </c>
      <c r="AV92" s="196">
        <f t="shared" si="34"/>
        <v>0</v>
      </c>
      <c r="AW92" s="196">
        <f t="shared" si="34"/>
        <v>0</v>
      </c>
      <c r="AX92" s="196">
        <f t="shared" si="34"/>
        <v>0</v>
      </c>
      <c r="AY92" s="196">
        <f t="shared" si="34"/>
        <v>0</v>
      </c>
      <c r="AZ92" s="196">
        <f t="shared" si="34"/>
        <v>0</v>
      </c>
      <c r="BA92" s="196">
        <f t="shared" si="34"/>
        <v>0</v>
      </c>
      <c r="BB92" s="196">
        <f t="shared" si="34"/>
        <v>0</v>
      </c>
      <c r="BC92" s="196">
        <f t="shared" si="34"/>
        <v>0</v>
      </c>
      <c r="BD92" s="196">
        <f t="shared" si="34"/>
        <v>0</v>
      </c>
      <c r="BE92" s="196">
        <f t="shared" si="34"/>
        <v>0</v>
      </c>
      <c r="BF92" s="199"/>
    </row>
    <row r="93" spans="1:58" ht="20.100000000000001" customHeight="1" x14ac:dyDescent="0.25">
      <c r="G93" s="236"/>
    </row>
    <row r="94" spans="1:58" ht="20.100000000000001" customHeight="1" x14ac:dyDescent="0.25"/>
    <row r="95" spans="1:58" ht="20.100000000000001" customHeight="1" x14ac:dyDescent="0.25">
      <c r="F95" s="236"/>
      <c r="G95" s="236"/>
      <c r="H95" s="241"/>
      <c r="I95" s="241"/>
      <c r="S95" s="236"/>
    </row>
    <row r="96" spans="1:58" ht="20.100000000000001" customHeight="1" x14ac:dyDescent="0.25">
      <c r="G96" s="236"/>
      <c r="S96" s="236"/>
    </row>
    <row r="97" spans="9:9" ht="20.100000000000001" customHeight="1" x14ac:dyDescent="0.25"/>
    <row r="98" spans="9:9" ht="20.100000000000001" customHeight="1" x14ac:dyDescent="0.25"/>
    <row r="99" spans="9:9" ht="20.100000000000001" customHeight="1" x14ac:dyDescent="0.25">
      <c r="I99" s="241"/>
    </row>
    <row r="100" spans="9:9" ht="20.100000000000001" customHeight="1" x14ac:dyDescent="0.25"/>
  </sheetData>
  <mergeCells count="19">
    <mergeCell ref="J2:M2"/>
    <mergeCell ref="N2:Q2"/>
    <mergeCell ref="R2:U2"/>
    <mergeCell ref="AT2:AW2"/>
    <mergeCell ref="D1:D3"/>
    <mergeCell ref="V2:Y2"/>
    <mergeCell ref="Z2:AC2"/>
    <mergeCell ref="AD2:AG2"/>
    <mergeCell ref="A1:A3"/>
    <mergeCell ref="B1:B3"/>
    <mergeCell ref="C1:C3"/>
    <mergeCell ref="F1:I2"/>
    <mergeCell ref="E1:E3"/>
    <mergeCell ref="AH2:AK2"/>
    <mergeCell ref="AL2:AO2"/>
    <mergeCell ref="AP2:AS2"/>
    <mergeCell ref="BF1:BF2"/>
    <mergeCell ref="AX2:BA2"/>
    <mergeCell ref="BB2:B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45"/>
  <sheetViews>
    <sheetView topLeftCell="B8" workbookViewId="0">
      <selection activeCell="M43" sqref="M43"/>
    </sheetView>
  </sheetViews>
  <sheetFormatPr defaultColWidth="9.140625" defaultRowHeight="15" x14ac:dyDescent="0.25"/>
  <cols>
    <col min="1" max="1" width="4" style="4" hidden="1" customWidth="1"/>
    <col min="2" max="2" width="18.85546875" style="5" customWidth="1"/>
    <col min="3" max="3" width="77.7109375" style="1" customWidth="1"/>
    <col min="4" max="4" width="19.85546875" style="1" hidden="1" customWidth="1"/>
    <col min="5" max="6" width="19.7109375" style="1" hidden="1" customWidth="1"/>
    <col min="7" max="7" width="18.42578125" style="1" hidden="1" customWidth="1"/>
    <col min="8" max="12" width="20.5703125" style="1" hidden="1" customWidth="1"/>
    <col min="13" max="13" width="20.5703125" style="1" customWidth="1"/>
    <col min="14" max="14" width="21.28515625" style="5" customWidth="1"/>
    <col min="15" max="15" width="14.28515625" style="5" customWidth="1"/>
    <col min="16" max="16384" width="9.140625" style="1"/>
  </cols>
  <sheetData>
    <row r="1" spans="1:15" hidden="1" x14ac:dyDescent="0.25"/>
    <row r="3" spans="1:15" x14ac:dyDescent="0.25">
      <c r="C3" s="6" t="s">
        <v>254</v>
      </c>
    </row>
    <row r="4" spans="1:15" ht="15" customHeight="1" x14ac:dyDescent="0.25">
      <c r="A4" s="246"/>
      <c r="B4" s="247" t="s">
        <v>0</v>
      </c>
      <c r="C4" s="250" t="s">
        <v>2</v>
      </c>
      <c r="D4" s="242" t="s">
        <v>277</v>
      </c>
      <c r="E4" s="272">
        <v>42466</v>
      </c>
      <c r="F4" s="272">
        <v>42551</v>
      </c>
      <c r="G4" s="272">
        <v>42563</v>
      </c>
      <c r="H4" s="272">
        <v>42577</v>
      </c>
      <c r="I4" s="272">
        <v>42586</v>
      </c>
      <c r="J4" s="272">
        <v>42618</v>
      </c>
      <c r="K4" s="272">
        <v>42618</v>
      </c>
      <c r="L4" s="273">
        <v>42621</v>
      </c>
      <c r="M4" s="273" t="s">
        <v>294</v>
      </c>
      <c r="N4" s="242"/>
      <c r="O4" s="31"/>
    </row>
    <row r="5" spans="1:15" x14ac:dyDescent="0.25">
      <c r="A5" s="246"/>
      <c r="B5" s="248"/>
      <c r="C5" s="251"/>
      <c r="D5" s="242"/>
      <c r="E5" s="272"/>
      <c r="F5" s="272"/>
      <c r="G5" s="272"/>
      <c r="H5" s="272"/>
      <c r="I5" s="272"/>
      <c r="J5" s="272"/>
      <c r="K5" s="272"/>
      <c r="L5" s="244"/>
      <c r="M5" s="274"/>
      <c r="N5" s="242"/>
      <c r="O5" s="31"/>
    </row>
    <row r="6" spans="1:15" x14ac:dyDescent="0.25">
      <c r="A6" s="246"/>
      <c r="B6" s="249"/>
      <c r="C6" s="252"/>
      <c r="D6" s="242"/>
      <c r="E6" s="272"/>
      <c r="F6" s="272"/>
      <c r="G6" s="272"/>
      <c r="H6" s="272"/>
      <c r="I6" s="272"/>
      <c r="J6" s="272"/>
      <c r="K6" s="272"/>
      <c r="L6" s="245"/>
      <c r="M6" s="275"/>
      <c r="N6" s="242"/>
      <c r="O6" s="31"/>
    </row>
    <row r="7" spans="1:15" ht="19.5" x14ac:dyDescent="0.25">
      <c r="B7" s="25" t="s">
        <v>5</v>
      </c>
      <c r="C7" s="27" t="s">
        <v>6</v>
      </c>
      <c r="D7" s="30">
        <f>D8+D9+D10+D11+D12+D13+D14+D15+D19+D23+D26+D27+D28+D31+D32+D33+D34+D35+D36+D37+D40+D41+D42+D43</f>
        <v>801475000</v>
      </c>
      <c r="E7" s="30"/>
      <c r="F7" s="30"/>
      <c r="G7" s="30"/>
      <c r="H7" s="30"/>
      <c r="I7" s="30"/>
      <c r="J7" s="30"/>
      <c r="K7" s="30"/>
      <c r="L7" s="30"/>
      <c r="M7" s="30"/>
      <c r="N7" s="30"/>
      <c r="O7" s="32"/>
    </row>
    <row r="8" spans="1:15" ht="18" x14ac:dyDescent="0.25">
      <c r="B8" s="19" t="s">
        <v>7</v>
      </c>
      <c r="C8" s="21" t="s">
        <v>8</v>
      </c>
      <c r="D8" s="22">
        <v>570000000</v>
      </c>
      <c r="E8" s="22"/>
      <c r="F8" s="23"/>
      <c r="G8" s="23"/>
      <c r="H8" s="23"/>
      <c r="I8" s="23"/>
      <c r="J8" s="23"/>
      <c r="K8" s="23">
        <v>35000000</v>
      </c>
      <c r="L8" s="23"/>
      <c r="M8" s="17">
        <f>SUM(C8:K8)</f>
        <v>605000000</v>
      </c>
      <c r="N8" s="23"/>
      <c r="O8" s="33"/>
    </row>
    <row r="9" spans="1:15" ht="15.75" x14ac:dyDescent="0.25">
      <c r="B9" s="3" t="s">
        <v>10</v>
      </c>
      <c r="C9" s="2" t="s">
        <v>11</v>
      </c>
      <c r="D9" s="17">
        <v>2000000</v>
      </c>
      <c r="E9" s="17"/>
      <c r="F9" s="17"/>
      <c r="G9" s="17"/>
      <c r="H9" s="18"/>
      <c r="I9" s="18"/>
      <c r="J9" s="18">
        <v>-80000</v>
      </c>
      <c r="K9" s="18"/>
      <c r="L9" s="18"/>
      <c r="M9" s="17">
        <f t="shared" ref="M9:M18" si="0">SUM(C9:K9)</f>
        <v>1920000</v>
      </c>
      <c r="N9" s="23"/>
      <c r="O9" s="35"/>
    </row>
    <row r="10" spans="1:15" ht="15.75" x14ac:dyDescent="0.25">
      <c r="B10" s="3" t="s">
        <v>18</v>
      </c>
      <c r="C10" s="2" t="s">
        <v>17</v>
      </c>
      <c r="D10" s="17">
        <v>14280000</v>
      </c>
      <c r="E10" s="17"/>
      <c r="F10" s="17"/>
      <c r="G10" s="17"/>
      <c r="H10" s="18"/>
      <c r="I10" s="18"/>
      <c r="J10" s="18">
        <v>1130000</v>
      </c>
      <c r="K10" s="18"/>
      <c r="L10" s="18"/>
      <c r="M10" s="17">
        <f t="shared" si="0"/>
        <v>15410000</v>
      </c>
      <c r="N10" s="23"/>
      <c r="O10" s="35"/>
    </row>
    <row r="11" spans="1:15" ht="15.75" x14ac:dyDescent="0.25">
      <c r="A11" s="1"/>
      <c r="B11" s="3" t="s">
        <v>28</v>
      </c>
      <c r="C11" s="2" t="s">
        <v>27</v>
      </c>
      <c r="D11" s="17">
        <v>1000000</v>
      </c>
      <c r="E11" s="17">
        <v>700000</v>
      </c>
      <c r="F11" s="17"/>
      <c r="G11" s="17"/>
      <c r="H11" s="18"/>
      <c r="I11" s="18"/>
      <c r="J11" s="18"/>
      <c r="K11" s="18"/>
      <c r="L11" s="18"/>
      <c r="M11" s="17">
        <f t="shared" si="0"/>
        <v>1700000</v>
      </c>
      <c r="N11" s="23"/>
      <c r="O11" s="35"/>
    </row>
    <row r="12" spans="1:15" ht="15.75" x14ac:dyDescent="0.25">
      <c r="A12" s="1"/>
      <c r="B12" s="3" t="s">
        <v>40</v>
      </c>
      <c r="C12" s="2" t="s">
        <v>39</v>
      </c>
      <c r="D12" s="17">
        <v>1650000</v>
      </c>
      <c r="E12" s="17"/>
      <c r="F12" s="17"/>
      <c r="G12" s="17"/>
      <c r="H12" s="18"/>
      <c r="I12" s="18"/>
      <c r="J12" s="18"/>
      <c r="K12" s="18"/>
      <c r="L12" s="18"/>
      <c r="M12" s="17">
        <f t="shared" si="0"/>
        <v>1650000</v>
      </c>
      <c r="N12" s="23"/>
      <c r="O12" s="35"/>
    </row>
    <row r="13" spans="1:15" ht="15.75" x14ac:dyDescent="0.25">
      <c r="A13" s="1"/>
      <c r="B13" s="3" t="s">
        <v>48</v>
      </c>
      <c r="C13" s="2" t="s">
        <v>47</v>
      </c>
      <c r="D13" s="17">
        <v>270000</v>
      </c>
      <c r="E13" s="18"/>
      <c r="F13" s="18"/>
      <c r="G13" s="18"/>
      <c r="H13" s="18"/>
      <c r="I13" s="18"/>
      <c r="J13" s="18"/>
      <c r="K13" s="18"/>
      <c r="L13" s="18"/>
      <c r="M13" s="17">
        <f t="shared" si="0"/>
        <v>270000</v>
      </c>
      <c r="N13" s="23"/>
      <c r="O13" s="35"/>
    </row>
    <row r="14" spans="1:15" s="29" customFormat="1" ht="15.75" x14ac:dyDescent="0.25">
      <c r="B14" s="3" t="s">
        <v>49</v>
      </c>
      <c r="C14" s="2" t="s">
        <v>50</v>
      </c>
      <c r="D14" s="8">
        <v>8000000</v>
      </c>
      <c r="E14" s="15"/>
      <c r="F14" s="15"/>
      <c r="G14" s="15"/>
      <c r="H14" s="18"/>
      <c r="I14" s="18"/>
      <c r="J14" s="18"/>
      <c r="K14" s="18"/>
      <c r="L14" s="18"/>
      <c r="M14" s="17">
        <f t="shared" si="0"/>
        <v>8000000</v>
      </c>
      <c r="N14" s="23"/>
      <c r="O14" s="37"/>
    </row>
    <row r="15" spans="1:15" ht="15.75" x14ac:dyDescent="0.25">
      <c r="A15" s="1"/>
      <c r="B15" s="3" t="s">
        <v>55</v>
      </c>
      <c r="C15" s="2" t="s">
        <v>60</v>
      </c>
      <c r="D15" s="8">
        <f>D16+D17+D18</f>
        <v>14000000</v>
      </c>
      <c r="E15" s="8"/>
      <c r="F15" s="8"/>
      <c r="G15" s="8"/>
      <c r="H15" s="18"/>
      <c r="I15" s="18"/>
      <c r="J15" s="18"/>
      <c r="K15" s="18"/>
      <c r="L15" s="18"/>
      <c r="M15" s="8">
        <f>M16+M17+M18</f>
        <v>13830000</v>
      </c>
      <c r="N15" s="23"/>
      <c r="O15" s="38"/>
    </row>
    <row r="16" spans="1:15" ht="15.75" x14ac:dyDescent="0.25">
      <c r="A16" s="1"/>
      <c r="B16" s="69" t="s">
        <v>346</v>
      </c>
      <c r="C16" s="70" t="s">
        <v>388</v>
      </c>
      <c r="D16" s="15">
        <v>11764000</v>
      </c>
      <c r="E16" s="8"/>
      <c r="F16" s="8"/>
      <c r="G16" s="8"/>
      <c r="H16" s="18"/>
      <c r="I16" s="18"/>
      <c r="J16" s="18"/>
      <c r="K16" s="18"/>
      <c r="L16" s="18"/>
      <c r="M16" s="18">
        <f t="shared" si="0"/>
        <v>11764000</v>
      </c>
      <c r="N16" s="23"/>
      <c r="O16" s="38"/>
    </row>
    <row r="17" spans="1:15" ht="15.75" x14ac:dyDescent="0.25">
      <c r="A17" s="1"/>
      <c r="B17" s="69" t="s">
        <v>389</v>
      </c>
      <c r="C17" s="70" t="s">
        <v>390</v>
      </c>
      <c r="D17" s="15">
        <v>1240000</v>
      </c>
      <c r="E17" s="8"/>
      <c r="F17" s="8"/>
      <c r="G17" s="8"/>
      <c r="H17" s="18"/>
      <c r="I17" s="18"/>
      <c r="J17" s="18"/>
      <c r="K17" s="18"/>
      <c r="L17" s="18"/>
      <c r="M17" s="18">
        <f t="shared" si="0"/>
        <v>1240000</v>
      </c>
      <c r="N17" s="23"/>
      <c r="O17" s="38"/>
    </row>
    <row r="18" spans="1:15" ht="15.75" x14ac:dyDescent="0.25">
      <c r="A18" s="1"/>
      <c r="B18" s="69" t="s">
        <v>391</v>
      </c>
      <c r="C18" s="70" t="s">
        <v>392</v>
      </c>
      <c r="D18" s="15">
        <v>996000</v>
      </c>
      <c r="E18" s="8"/>
      <c r="F18" s="8"/>
      <c r="G18" s="8"/>
      <c r="H18" s="18"/>
      <c r="I18" s="18"/>
      <c r="J18" s="18">
        <v>-170000</v>
      </c>
      <c r="K18" s="18"/>
      <c r="L18" s="18"/>
      <c r="M18" s="18">
        <f t="shared" si="0"/>
        <v>826000</v>
      </c>
      <c r="N18" s="23"/>
      <c r="O18" s="38"/>
    </row>
    <row r="19" spans="1:15" ht="15.75" x14ac:dyDescent="0.25">
      <c r="A19" s="1"/>
      <c r="B19" s="3" t="s">
        <v>69</v>
      </c>
      <c r="C19" s="2" t="s">
        <v>68</v>
      </c>
      <c r="D19" s="8">
        <f>D20+D21+D22</f>
        <v>8424000</v>
      </c>
      <c r="E19" s="8"/>
      <c r="F19" s="8"/>
      <c r="G19" s="8"/>
      <c r="H19" s="8"/>
      <c r="I19" s="8"/>
      <c r="J19" s="8"/>
      <c r="K19" s="8"/>
      <c r="L19" s="8"/>
      <c r="M19" s="8">
        <f>M20+M21+M22</f>
        <v>7624000</v>
      </c>
      <c r="N19" s="23"/>
      <c r="O19" s="38"/>
    </row>
    <row r="20" spans="1:15" ht="15.75" x14ac:dyDescent="0.25">
      <c r="A20" s="1"/>
      <c r="B20" s="69" t="s">
        <v>348</v>
      </c>
      <c r="C20" s="70" t="s">
        <v>393</v>
      </c>
      <c r="D20" s="15">
        <v>4894000</v>
      </c>
      <c r="E20" s="8"/>
      <c r="F20" s="8"/>
      <c r="G20" s="8"/>
      <c r="H20" s="8"/>
      <c r="I20" s="8"/>
      <c r="J20" s="8"/>
      <c r="K20" s="8"/>
      <c r="L20" s="8"/>
      <c r="M20" s="15">
        <f t="shared" ref="M20:M43" si="1">SUM(D20:L20)</f>
        <v>4894000</v>
      </c>
      <c r="N20" s="23"/>
      <c r="O20" s="38"/>
    </row>
    <row r="21" spans="1:15" ht="15.75" x14ac:dyDescent="0.25">
      <c r="A21" s="1"/>
      <c r="B21" s="69" t="s">
        <v>394</v>
      </c>
      <c r="C21" s="70" t="s">
        <v>395</v>
      </c>
      <c r="D21" s="15">
        <v>900000</v>
      </c>
      <c r="E21" s="8"/>
      <c r="F21" s="8"/>
      <c r="G21" s="8"/>
      <c r="H21" s="8"/>
      <c r="I21" s="8"/>
      <c r="J21" s="8"/>
      <c r="K21" s="8"/>
      <c r="L21" s="8"/>
      <c r="M21" s="15">
        <f t="shared" si="1"/>
        <v>900000</v>
      </c>
      <c r="N21" s="23"/>
      <c r="O21" s="38"/>
    </row>
    <row r="22" spans="1:15" ht="15.75" x14ac:dyDescent="0.25">
      <c r="A22" s="1"/>
      <c r="B22" s="69" t="s">
        <v>396</v>
      </c>
      <c r="C22" s="70" t="s">
        <v>397</v>
      </c>
      <c r="D22" s="15">
        <v>2630000</v>
      </c>
      <c r="E22" s="8"/>
      <c r="F22" s="8"/>
      <c r="G22" s="8"/>
      <c r="H22" s="8"/>
      <c r="I22" s="8"/>
      <c r="J22" s="8">
        <v>-800000</v>
      </c>
      <c r="K22" s="8"/>
      <c r="L22" s="8"/>
      <c r="M22" s="15">
        <f t="shared" si="1"/>
        <v>1830000</v>
      </c>
      <c r="N22" s="23"/>
      <c r="O22" s="38"/>
    </row>
    <row r="23" spans="1:15" ht="15.75" x14ac:dyDescent="0.25">
      <c r="A23" s="1"/>
      <c r="B23" s="3" t="s">
        <v>79</v>
      </c>
      <c r="C23" s="2" t="s">
        <v>78</v>
      </c>
      <c r="D23" s="8">
        <f>D24+D25</f>
        <v>7000000</v>
      </c>
      <c r="E23" s="8"/>
      <c r="F23" s="8"/>
      <c r="G23" s="8"/>
      <c r="H23" s="8"/>
      <c r="I23" s="8"/>
      <c r="J23" s="8">
        <v>156000</v>
      </c>
      <c r="K23" s="8"/>
      <c r="L23" s="8"/>
      <c r="M23" s="8">
        <f>M24+M25</f>
        <v>6920000</v>
      </c>
      <c r="N23" s="23"/>
      <c r="O23" s="38"/>
    </row>
    <row r="24" spans="1:15" ht="15.75" x14ac:dyDescent="0.25">
      <c r="A24" s="1"/>
      <c r="B24" s="69" t="s">
        <v>351</v>
      </c>
      <c r="C24" s="70" t="s">
        <v>398</v>
      </c>
      <c r="D24" s="15">
        <v>6458000</v>
      </c>
      <c r="E24" s="8"/>
      <c r="F24" s="8"/>
      <c r="G24" s="8"/>
      <c r="H24" s="8"/>
      <c r="I24" s="8"/>
      <c r="J24" s="8"/>
      <c r="K24" s="8"/>
      <c r="L24" s="8"/>
      <c r="M24" s="15">
        <f t="shared" si="1"/>
        <v>6458000</v>
      </c>
      <c r="N24" s="23"/>
      <c r="O24" s="38"/>
    </row>
    <row r="25" spans="1:15" ht="15.75" x14ac:dyDescent="0.25">
      <c r="A25" s="1"/>
      <c r="B25" s="69" t="s">
        <v>399</v>
      </c>
      <c r="C25" s="70" t="s">
        <v>400</v>
      </c>
      <c r="D25" s="15">
        <v>542000</v>
      </c>
      <c r="E25" s="8"/>
      <c r="F25" s="8"/>
      <c r="G25" s="8"/>
      <c r="H25" s="8"/>
      <c r="I25" s="8"/>
      <c r="J25" s="8">
        <v>-80000</v>
      </c>
      <c r="K25" s="8"/>
      <c r="L25" s="8"/>
      <c r="M25" s="15">
        <f t="shared" si="1"/>
        <v>462000</v>
      </c>
      <c r="N25" s="23"/>
      <c r="O25" s="38"/>
    </row>
    <row r="26" spans="1:15" ht="15.75" x14ac:dyDescent="0.25">
      <c r="A26" s="1"/>
      <c r="B26" s="3" t="s">
        <v>94</v>
      </c>
      <c r="C26" s="2" t="s">
        <v>95</v>
      </c>
      <c r="D26" s="8">
        <v>5000000</v>
      </c>
      <c r="E26" s="8"/>
      <c r="F26" s="8"/>
      <c r="G26" s="8"/>
      <c r="H26" s="8"/>
      <c r="I26" s="8"/>
      <c r="J26" s="8"/>
      <c r="K26" s="8"/>
      <c r="L26" s="8"/>
      <c r="M26" s="8">
        <f t="shared" si="1"/>
        <v>5000000</v>
      </c>
      <c r="N26" s="23"/>
      <c r="O26" s="38"/>
    </row>
    <row r="27" spans="1:15" ht="15.75" x14ac:dyDescent="0.25">
      <c r="A27" s="1"/>
      <c r="B27" s="3" t="s">
        <v>103</v>
      </c>
      <c r="C27" s="2" t="s">
        <v>102</v>
      </c>
      <c r="D27" s="8">
        <v>400000</v>
      </c>
      <c r="E27" s="8"/>
      <c r="F27" s="8"/>
      <c r="G27" s="8"/>
      <c r="H27" s="8"/>
      <c r="I27" s="8"/>
      <c r="J27" s="8"/>
      <c r="K27" s="8"/>
      <c r="L27" s="8"/>
      <c r="M27" s="8">
        <f t="shared" si="1"/>
        <v>400000</v>
      </c>
      <c r="N27" s="23"/>
      <c r="O27" s="38"/>
    </row>
    <row r="28" spans="1:15" ht="15.75" x14ac:dyDescent="0.25">
      <c r="A28" s="1"/>
      <c r="B28" s="3" t="s">
        <v>109</v>
      </c>
      <c r="C28" s="2" t="s">
        <v>110</v>
      </c>
      <c r="D28" s="8">
        <f>D29+D30</f>
        <v>22000000</v>
      </c>
      <c r="E28" s="8"/>
      <c r="F28" s="8"/>
      <c r="G28" s="8"/>
      <c r="H28" s="8"/>
      <c r="I28" s="8"/>
      <c r="J28" s="8"/>
      <c r="K28" s="8"/>
      <c r="L28" s="8"/>
      <c r="M28" s="8">
        <f>M29+M30</f>
        <v>20630000</v>
      </c>
      <c r="N28" s="23"/>
      <c r="O28" s="38"/>
    </row>
    <row r="29" spans="1:15" ht="15.75" x14ac:dyDescent="0.25">
      <c r="A29" s="1"/>
      <c r="B29" s="69" t="s">
        <v>401</v>
      </c>
      <c r="C29" s="70" t="s">
        <v>402</v>
      </c>
      <c r="D29" s="15">
        <v>22000000</v>
      </c>
      <c r="E29" s="8">
        <v>-700000</v>
      </c>
      <c r="F29" s="8"/>
      <c r="G29" s="8"/>
      <c r="H29" s="8">
        <v>-680000</v>
      </c>
      <c r="I29" s="8">
        <v>-670000</v>
      </c>
      <c r="J29" s="8"/>
      <c r="K29" s="8"/>
      <c r="L29" s="8"/>
      <c r="M29" s="15">
        <f t="shared" si="1"/>
        <v>19950000</v>
      </c>
      <c r="N29" s="23"/>
      <c r="O29" s="38"/>
    </row>
    <row r="30" spans="1:15" ht="15.75" x14ac:dyDescent="0.25">
      <c r="A30" s="1"/>
      <c r="B30" s="69" t="s">
        <v>403</v>
      </c>
      <c r="C30" s="70" t="s">
        <v>404</v>
      </c>
      <c r="D30" s="15">
        <v>0</v>
      </c>
      <c r="E30" s="8"/>
      <c r="F30" s="8"/>
      <c r="G30" s="8"/>
      <c r="H30" s="8">
        <v>680000</v>
      </c>
      <c r="I30" s="8"/>
      <c r="J30" s="8"/>
      <c r="K30" s="8"/>
      <c r="L30" s="8"/>
      <c r="M30" s="15">
        <f t="shared" si="1"/>
        <v>680000</v>
      </c>
      <c r="N30" s="23"/>
      <c r="O30" s="38"/>
    </row>
    <row r="31" spans="1:15" ht="15.75" x14ac:dyDescent="0.25">
      <c r="A31" s="1"/>
      <c r="B31" s="3" t="s">
        <v>120</v>
      </c>
      <c r="C31" s="2" t="s">
        <v>119</v>
      </c>
      <c r="D31" s="8">
        <v>15000000</v>
      </c>
      <c r="E31" s="8"/>
      <c r="F31" s="8"/>
      <c r="G31" s="8">
        <v>302500</v>
      </c>
      <c r="H31" s="8"/>
      <c r="I31" s="8"/>
      <c r="J31" s="8"/>
      <c r="K31" s="8"/>
      <c r="L31" s="8"/>
      <c r="M31" s="8">
        <f t="shared" si="1"/>
        <v>15302500</v>
      </c>
      <c r="N31" s="23"/>
      <c r="O31" s="38"/>
    </row>
    <row r="32" spans="1:15" ht="15.75" x14ac:dyDescent="0.25">
      <c r="A32" s="1"/>
      <c r="B32" s="3" t="s">
        <v>129</v>
      </c>
      <c r="C32" s="2" t="s">
        <v>130</v>
      </c>
      <c r="D32" s="8">
        <v>8100000</v>
      </c>
      <c r="E32" s="8"/>
      <c r="F32" s="8"/>
      <c r="G32" s="8"/>
      <c r="H32" s="18"/>
      <c r="I32" s="8"/>
      <c r="J32" s="18"/>
      <c r="K32" s="8"/>
      <c r="L32" s="8"/>
      <c r="M32" s="8">
        <f t="shared" si="1"/>
        <v>8100000</v>
      </c>
      <c r="N32" s="23"/>
      <c r="O32" s="38"/>
    </row>
    <row r="33" spans="1:15" ht="15.75" x14ac:dyDescent="0.25">
      <c r="A33" s="1"/>
      <c r="B33" s="3" t="s">
        <v>145</v>
      </c>
      <c r="C33" s="2" t="s">
        <v>146</v>
      </c>
      <c r="D33" s="8">
        <v>2000000</v>
      </c>
      <c r="E33" s="8"/>
      <c r="F33" s="8"/>
      <c r="G33" s="8">
        <v>-302500</v>
      </c>
      <c r="H33" s="18"/>
      <c r="I33" s="8"/>
      <c r="J33" s="18"/>
      <c r="K33" s="8"/>
      <c r="L33" s="8"/>
      <c r="M33" s="8">
        <f t="shared" si="1"/>
        <v>1697500</v>
      </c>
      <c r="N33" s="23"/>
      <c r="O33" s="38"/>
    </row>
    <row r="34" spans="1:15" ht="15.75" x14ac:dyDescent="0.25">
      <c r="A34" s="1"/>
      <c r="B34" s="3" t="s">
        <v>150</v>
      </c>
      <c r="C34" s="2" t="s">
        <v>149</v>
      </c>
      <c r="D34" s="8">
        <v>32000000</v>
      </c>
      <c r="E34" s="8"/>
      <c r="F34" s="8"/>
      <c r="G34" s="8"/>
      <c r="H34" s="8"/>
      <c r="I34" s="8"/>
      <c r="J34" s="8"/>
      <c r="K34" s="8"/>
      <c r="L34" s="8"/>
      <c r="M34" s="8">
        <f t="shared" si="1"/>
        <v>32000000</v>
      </c>
      <c r="N34" s="23"/>
      <c r="O34" s="38"/>
    </row>
    <row r="35" spans="1:15" ht="15.75" x14ac:dyDescent="0.25">
      <c r="A35" s="1"/>
      <c r="B35" s="3" t="s">
        <v>158</v>
      </c>
      <c r="C35" s="2" t="s">
        <v>159</v>
      </c>
      <c r="D35" s="8">
        <v>3100000</v>
      </c>
      <c r="E35" s="8"/>
      <c r="F35" s="8"/>
      <c r="G35" s="8"/>
      <c r="H35" s="8"/>
      <c r="I35" s="8"/>
      <c r="J35" s="8"/>
      <c r="K35" s="8"/>
      <c r="L35" s="8"/>
      <c r="M35" s="8">
        <f t="shared" si="1"/>
        <v>3100000</v>
      </c>
      <c r="N35" s="23"/>
      <c r="O35" s="38"/>
    </row>
    <row r="36" spans="1:15" ht="30" x14ac:dyDescent="0.25">
      <c r="A36" s="1"/>
      <c r="B36" s="3" t="s">
        <v>174</v>
      </c>
      <c r="C36" s="2" t="s">
        <v>175</v>
      </c>
      <c r="D36" s="8">
        <v>6000000</v>
      </c>
      <c r="E36" s="8"/>
      <c r="F36" s="8"/>
      <c r="G36" s="8"/>
      <c r="H36" s="8"/>
      <c r="I36" s="8"/>
      <c r="J36" s="8"/>
      <c r="K36" s="8"/>
      <c r="L36" s="8"/>
      <c r="M36" s="8">
        <f t="shared" si="1"/>
        <v>6000000</v>
      </c>
      <c r="N36" s="23"/>
      <c r="O36" s="38"/>
    </row>
    <row r="37" spans="1:15" ht="30" x14ac:dyDescent="0.25">
      <c r="B37" s="3" t="s">
        <v>200</v>
      </c>
      <c r="C37" s="2" t="s">
        <v>3</v>
      </c>
      <c r="D37" s="8">
        <f>D38+D39</f>
        <v>33251000</v>
      </c>
      <c r="E37" s="8"/>
      <c r="F37" s="8"/>
      <c r="G37" s="8"/>
      <c r="H37" s="8"/>
      <c r="I37" s="8"/>
      <c r="J37" s="8"/>
      <c r="K37" s="8"/>
      <c r="L37" s="8"/>
      <c r="M37" s="8">
        <f>M38+M39</f>
        <v>33251000</v>
      </c>
      <c r="N37" s="23"/>
      <c r="O37" s="38"/>
    </row>
    <row r="38" spans="1:15" ht="30" x14ac:dyDescent="0.25">
      <c r="B38" s="69" t="s">
        <v>384</v>
      </c>
      <c r="C38" s="70" t="s">
        <v>405</v>
      </c>
      <c r="D38" s="15">
        <v>10500000</v>
      </c>
      <c r="E38" s="8"/>
      <c r="F38" s="8"/>
      <c r="G38" s="8"/>
      <c r="H38" s="8"/>
      <c r="I38" s="8"/>
      <c r="J38" s="8"/>
      <c r="K38" s="8"/>
      <c r="L38" s="8"/>
      <c r="M38" s="8">
        <f t="shared" si="1"/>
        <v>10500000</v>
      </c>
      <c r="N38" s="23"/>
      <c r="O38" s="38"/>
    </row>
    <row r="39" spans="1:15" ht="15.75" x14ac:dyDescent="0.25">
      <c r="B39" s="69" t="s">
        <v>406</v>
      </c>
      <c r="C39" s="70" t="s">
        <v>407</v>
      </c>
      <c r="D39" s="15">
        <v>22751000</v>
      </c>
      <c r="E39" s="8"/>
      <c r="F39" s="8"/>
      <c r="G39" s="8"/>
      <c r="H39" s="8"/>
      <c r="I39" s="8"/>
      <c r="J39" s="8"/>
      <c r="K39" s="8"/>
      <c r="L39" s="8"/>
      <c r="M39" s="8">
        <f t="shared" si="1"/>
        <v>22751000</v>
      </c>
      <c r="N39" s="23"/>
      <c r="O39" s="38"/>
    </row>
    <row r="40" spans="1:15" s="14" customFormat="1" ht="15.75" x14ac:dyDescent="0.25">
      <c r="A40" s="71"/>
      <c r="B40" s="3" t="s">
        <v>208</v>
      </c>
      <c r="C40" s="2" t="s">
        <v>207</v>
      </c>
      <c r="D40" s="8">
        <v>26000000</v>
      </c>
      <c r="E40" s="8"/>
      <c r="F40" s="8"/>
      <c r="G40" s="8"/>
      <c r="H40" s="8"/>
      <c r="I40" s="8"/>
      <c r="J40" s="8"/>
      <c r="K40" s="8"/>
      <c r="L40" s="8"/>
      <c r="M40" s="8">
        <f t="shared" si="1"/>
        <v>26000000</v>
      </c>
      <c r="N40" s="23"/>
      <c r="O40" s="38"/>
    </row>
    <row r="41" spans="1:15" s="14" customFormat="1" ht="15.75" x14ac:dyDescent="0.25">
      <c r="A41" s="71"/>
      <c r="B41" s="3" t="s">
        <v>224</v>
      </c>
      <c r="C41" s="2" t="s">
        <v>223</v>
      </c>
      <c r="D41" s="8">
        <v>20000000</v>
      </c>
      <c r="E41" s="8"/>
      <c r="F41" s="8"/>
      <c r="G41" s="8"/>
      <c r="H41" s="8"/>
      <c r="I41" s="8"/>
      <c r="J41" s="8"/>
      <c r="K41" s="8"/>
      <c r="L41" s="8"/>
      <c r="M41" s="8">
        <f t="shared" si="1"/>
        <v>20000000</v>
      </c>
      <c r="N41" s="23"/>
      <c r="O41" s="38"/>
    </row>
    <row r="42" spans="1:15" s="14" customFormat="1" ht="15.75" x14ac:dyDescent="0.25">
      <c r="A42" s="71"/>
      <c r="B42" s="3" t="s">
        <v>236</v>
      </c>
      <c r="C42" s="2" t="s">
        <v>233</v>
      </c>
      <c r="D42" s="8">
        <v>1000000</v>
      </c>
      <c r="E42" s="8"/>
      <c r="F42" s="8"/>
      <c r="G42" s="8"/>
      <c r="H42" s="8"/>
      <c r="I42" s="8"/>
      <c r="J42" s="8"/>
      <c r="K42" s="8"/>
      <c r="L42" s="8"/>
      <c r="M42" s="8">
        <f t="shared" si="1"/>
        <v>1000000</v>
      </c>
      <c r="N42" s="23"/>
      <c r="O42" s="38"/>
    </row>
    <row r="43" spans="1:15" s="14" customFormat="1" ht="15.75" x14ac:dyDescent="0.25">
      <c r="A43" s="71"/>
      <c r="B43" s="3" t="s">
        <v>239</v>
      </c>
      <c r="C43" s="2" t="s">
        <v>408</v>
      </c>
      <c r="D43" s="8">
        <v>1000000</v>
      </c>
      <c r="E43" s="8"/>
      <c r="F43" s="8">
        <v>-134000</v>
      </c>
      <c r="G43" s="8"/>
      <c r="H43" s="8"/>
      <c r="I43" s="8"/>
      <c r="J43" s="8">
        <v>-156000</v>
      </c>
      <c r="K43" s="8"/>
      <c r="L43" s="23">
        <v>-82500</v>
      </c>
      <c r="M43" s="8">
        <f t="shared" si="1"/>
        <v>627500</v>
      </c>
      <c r="N43" s="23"/>
      <c r="O43" s="38"/>
    </row>
    <row r="44" spans="1:15" s="14" customFormat="1" ht="180" hidden="1" x14ac:dyDescent="0.25">
      <c r="A44" s="71"/>
      <c r="B44" s="19" t="s">
        <v>239</v>
      </c>
      <c r="C44" s="21" t="s">
        <v>240</v>
      </c>
      <c r="D44" s="22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33"/>
    </row>
    <row r="45" spans="1:15" ht="409.5" hidden="1" x14ac:dyDescent="0.25">
      <c r="B45" s="10"/>
      <c r="C45" s="16" t="s">
        <v>241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36"/>
    </row>
  </sheetData>
  <mergeCells count="14">
    <mergeCell ref="M4:M6"/>
    <mergeCell ref="N4:N6"/>
    <mergeCell ref="G4:G6"/>
    <mergeCell ref="H4:H6"/>
    <mergeCell ref="I4:I6"/>
    <mergeCell ref="J4:J6"/>
    <mergeCell ref="K4:K6"/>
    <mergeCell ref="L4:L6"/>
    <mergeCell ref="F4:F6"/>
    <mergeCell ref="A4:A6"/>
    <mergeCell ref="B4:B6"/>
    <mergeCell ref="C4:C6"/>
    <mergeCell ref="D4:D6"/>
    <mergeCell ref="E4:E6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46"/>
  <sheetViews>
    <sheetView topLeftCell="A61" workbookViewId="0">
      <selection activeCell="L68" sqref="L68"/>
    </sheetView>
  </sheetViews>
  <sheetFormatPr defaultColWidth="14.5703125" defaultRowHeight="11.25" x14ac:dyDescent="0.25"/>
  <cols>
    <col min="1" max="1" width="22.5703125" style="124" customWidth="1"/>
    <col min="2" max="2" width="11.140625" style="102" customWidth="1"/>
    <col min="3" max="3" width="11.140625" style="125" customWidth="1"/>
    <col min="4" max="5" width="11.140625" style="126" customWidth="1"/>
    <col min="6" max="7" width="11.140625" style="127" customWidth="1"/>
    <col min="8" max="8" width="11.140625" style="133" customWidth="1"/>
    <col min="9" max="9" width="12.7109375" style="96" customWidth="1"/>
    <col min="10" max="10" width="11.42578125" style="102" customWidth="1"/>
    <col min="11" max="11" width="11.28515625" style="102" customWidth="1"/>
    <col min="12" max="12" width="16.28515625" style="102" customWidth="1"/>
    <col min="13" max="14" width="11" style="102" customWidth="1"/>
    <col min="15" max="15" width="11.5703125" style="102" customWidth="1"/>
    <col min="16" max="16" width="12.85546875" style="125" customWidth="1"/>
    <col min="17" max="17" width="12.28515625" style="125" customWidth="1"/>
    <col min="18" max="18" width="12.7109375" style="125" customWidth="1"/>
    <col min="19" max="19" width="14.7109375" style="51" customWidth="1"/>
    <col min="20" max="20" width="15.42578125" style="51" bestFit="1" customWidth="1"/>
    <col min="21" max="21" width="15.140625" style="51" bestFit="1" customWidth="1"/>
    <col min="22" max="16384" width="14.5703125" style="51"/>
  </cols>
  <sheetData>
    <row r="1" spans="1:21" ht="32.25" customHeight="1" x14ac:dyDescent="0.25">
      <c r="A1" s="276" t="s">
        <v>438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81"/>
      <c r="R1" s="81"/>
      <c r="S1" s="82"/>
      <c r="T1" s="82"/>
      <c r="U1" s="82"/>
    </row>
    <row r="2" spans="1:21" s="45" customFormat="1" ht="55.5" customHeight="1" x14ac:dyDescent="0.25">
      <c r="A2" s="83" t="s">
        <v>285</v>
      </c>
      <c r="B2" s="40" t="s">
        <v>286</v>
      </c>
      <c r="C2" s="41" t="s">
        <v>287</v>
      </c>
      <c r="D2" s="41" t="s">
        <v>288</v>
      </c>
      <c r="E2" s="41" t="s">
        <v>289</v>
      </c>
      <c r="F2" s="42" t="s">
        <v>290</v>
      </c>
      <c r="G2" s="42" t="s">
        <v>291</v>
      </c>
      <c r="H2" s="43" t="s">
        <v>292</v>
      </c>
      <c r="I2" s="43" t="s">
        <v>293</v>
      </c>
      <c r="J2" s="44" t="s">
        <v>295</v>
      </c>
      <c r="K2" s="44" t="s">
        <v>439</v>
      </c>
      <c r="L2" s="44" t="s">
        <v>482</v>
      </c>
      <c r="M2" s="44" t="s">
        <v>297</v>
      </c>
      <c r="N2" s="44" t="s">
        <v>298</v>
      </c>
      <c r="O2" s="44" t="s">
        <v>299</v>
      </c>
      <c r="P2" s="44" t="s">
        <v>294</v>
      </c>
      <c r="Q2" s="44" t="s">
        <v>440</v>
      </c>
      <c r="R2" s="44" t="s">
        <v>441</v>
      </c>
      <c r="S2" s="40" t="s">
        <v>442</v>
      </c>
      <c r="T2" s="40" t="s">
        <v>443</v>
      </c>
      <c r="U2" s="40" t="s">
        <v>279</v>
      </c>
    </row>
    <row r="3" spans="1:21" s="90" customFormat="1" ht="21.75" customHeight="1" x14ac:dyDescent="0.25">
      <c r="A3" s="84" t="s">
        <v>50</v>
      </c>
      <c r="B3" s="85">
        <f>B4</f>
        <v>168339.57</v>
      </c>
      <c r="C3" s="86">
        <v>722031.37</v>
      </c>
      <c r="D3" s="87">
        <f t="shared" ref="D3:I3" si="0">D4</f>
        <v>657551.18999999994</v>
      </c>
      <c r="E3" s="87">
        <f t="shared" si="0"/>
        <v>904485.34</v>
      </c>
      <c r="F3" s="87">
        <f t="shared" si="0"/>
        <v>807873.63</v>
      </c>
      <c r="G3" s="87">
        <f t="shared" si="0"/>
        <v>769318.2</v>
      </c>
      <c r="H3" s="87">
        <f t="shared" si="0"/>
        <v>758755.5</v>
      </c>
      <c r="I3" s="87">
        <f t="shared" si="0"/>
        <v>842958.53</v>
      </c>
      <c r="J3" s="87">
        <f>J4</f>
        <v>817477.29</v>
      </c>
      <c r="K3" s="87">
        <f t="shared" ref="K3:O3" si="1">K4</f>
        <v>1009716.19</v>
      </c>
      <c r="L3" s="87">
        <f>SUM(B3:K3)</f>
        <v>7458506.8100000005</v>
      </c>
      <c r="M3" s="87">
        <f t="shared" si="1"/>
        <v>820000</v>
      </c>
      <c r="N3" s="87">
        <f t="shared" si="1"/>
        <v>800000</v>
      </c>
      <c r="O3" s="87">
        <f t="shared" si="1"/>
        <v>800000</v>
      </c>
      <c r="P3" s="87">
        <f>B3+C3+D3+E3+F3+G3+H3+I3+J3+K3</f>
        <v>7458506.8100000005</v>
      </c>
      <c r="Q3" s="44">
        <f>Q4</f>
        <v>8000000</v>
      </c>
      <c r="R3" s="44">
        <f>Q3-P3</f>
        <v>541493.18999999948</v>
      </c>
      <c r="S3" s="88">
        <f>R3/3</f>
        <v>180497.72999999984</v>
      </c>
      <c r="T3" s="88">
        <f>B3+C3+D3+E3+F3+G3+H3+I3+J3+K3+M3+N3+O3</f>
        <v>9878506.8100000005</v>
      </c>
      <c r="U3" s="89">
        <f>Q3-T3</f>
        <v>-1878506.8100000005</v>
      </c>
    </row>
    <row r="4" spans="1:21" s="96" customFormat="1" ht="21.75" customHeight="1" x14ac:dyDescent="0.25">
      <c r="A4" s="91" t="s">
        <v>50</v>
      </c>
      <c r="B4" s="92">
        <v>168339.57</v>
      </c>
      <c r="C4" s="43">
        <v>722031.37</v>
      </c>
      <c r="D4" s="93">
        <v>657551.18999999994</v>
      </c>
      <c r="E4" s="93">
        <v>904485.34</v>
      </c>
      <c r="F4" s="93">
        <v>807873.63</v>
      </c>
      <c r="G4" s="93">
        <v>769318.2</v>
      </c>
      <c r="H4" s="94">
        <v>758755.5</v>
      </c>
      <c r="I4" s="93">
        <v>842958.53</v>
      </c>
      <c r="J4" s="93">
        <v>817477.29</v>
      </c>
      <c r="K4" s="93">
        <v>1009716.19</v>
      </c>
      <c r="L4" s="87">
        <f t="shared" ref="L4:L67" si="2">SUM(B4:K4)</f>
        <v>7458506.8100000005</v>
      </c>
      <c r="M4" s="47">
        <v>820000</v>
      </c>
      <c r="N4" s="47">
        <v>800000</v>
      </c>
      <c r="O4" s="47">
        <v>800000</v>
      </c>
      <c r="P4" s="87">
        <f t="shared" ref="P4:P67" si="3">B4+C4+D4+E4+F4+G4+H4+I4+J4+K4</f>
        <v>7458506.8100000005</v>
      </c>
      <c r="Q4" s="95">
        <v>8000000</v>
      </c>
      <c r="R4" s="44">
        <f t="shared" ref="R4:R67" si="4">Q4-P4</f>
        <v>541493.18999999948</v>
      </c>
      <c r="S4" s="88">
        <f t="shared" ref="S4:S67" si="5">R4/3</f>
        <v>180497.72999999984</v>
      </c>
      <c r="T4" s="88">
        <f t="shared" ref="T4:T67" si="6">B4+C4+D4+E4+F4+G4+H4+I4+J4+K4+M4+N4+O4</f>
        <v>9878506.8100000005</v>
      </c>
      <c r="U4" s="88">
        <f t="shared" ref="U4:U67" si="7">Q4-T4</f>
        <v>-1878506.8100000005</v>
      </c>
    </row>
    <row r="5" spans="1:21" s="90" customFormat="1" ht="21.75" customHeight="1" x14ac:dyDescent="0.25">
      <c r="A5" s="84" t="s">
        <v>60</v>
      </c>
      <c r="B5" s="85">
        <v>0</v>
      </c>
      <c r="C5" s="97">
        <f t="shared" ref="C5" si="8">C6+C7</f>
        <v>979540.76</v>
      </c>
      <c r="D5" s="87">
        <f>D6+D7+D8</f>
        <v>947992.69</v>
      </c>
      <c r="E5" s="87">
        <f t="shared" ref="E5:O5" si="9">E6+E7+E8</f>
        <v>1025003.13</v>
      </c>
      <c r="F5" s="87">
        <f t="shared" si="9"/>
        <v>1080915.3599999999</v>
      </c>
      <c r="G5" s="87">
        <f t="shared" si="9"/>
        <v>1054156.29</v>
      </c>
      <c r="H5" s="87">
        <f t="shared" si="9"/>
        <v>1035084.4500000001</v>
      </c>
      <c r="I5" s="87">
        <f t="shared" si="9"/>
        <v>1026379.83</v>
      </c>
      <c r="J5" s="87">
        <f t="shared" si="9"/>
        <v>982825.27</v>
      </c>
      <c r="K5" s="87">
        <f t="shared" si="9"/>
        <v>953204.75</v>
      </c>
      <c r="L5" s="87">
        <f t="shared" si="2"/>
        <v>9085102.5300000012</v>
      </c>
      <c r="M5" s="87">
        <f t="shared" si="9"/>
        <v>1020000</v>
      </c>
      <c r="N5" s="87">
        <f t="shared" si="9"/>
        <v>1020000</v>
      </c>
      <c r="O5" s="87">
        <f t="shared" si="9"/>
        <v>1020000</v>
      </c>
      <c r="P5" s="87">
        <f t="shared" si="3"/>
        <v>9085102.5300000012</v>
      </c>
      <c r="Q5" s="44"/>
      <c r="R5" s="44">
        <f t="shared" si="4"/>
        <v>-9085102.5300000012</v>
      </c>
      <c r="S5" s="88">
        <f t="shared" si="5"/>
        <v>-3028367.5100000002</v>
      </c>
      <c r="T5" s="88">
        <f t="shared" si="6"/>
        <v>12145102.530000001</v>
      </c>
      <c r="U5" s="88"/>
    </row>
    <row r="6" spans="1:21" s="102" customFormat="1" ht="21.75" customHeight="1" x14ac:dyDescent="0.25">
      <c r="A6" s="98" t="s">
        <v>300</v>
      </c>
      <c r="B6" s="99">
        <v>0</v>
      </c>
      <c r="C6" s="100">
        <v>216715.28</v>
      </c>
      <c r="D6" s="100">
        <v>213857.74</v>
      </c>
      <c r="E6" s="100">
        <v>252153.15</v>
      </c>
      <c r="F6" s="100">
        <v>237942.13</v>
      </c>
      <c r="G6" s="43">
        <v>221619.15</v>
      </c>
      <c r="H6" s="95">
        <v>222175.54</v>
      </c>
      <c r="I6" s="93">
        <v>229202.13</v>
      </c>
      <c r="J6" s="101">
        <v>221343.57</v>
      </c>
      <c r="K6" s="101">
        <v>212790.98</v>
      </c>
      <c r="L6" s="87">
        <f t="shared" si="2"/>
        <v>2027799.6700000002</v>
      </c>
      <c r="M6" s="50">
        <v>220000</v>
      </c>
      <c r="N6" s="50">
        <v>220000</v>
      </c>
      <c r="O6" s="50">
        <v>220000</v>
      </c>
      <c r="P6" s="87">
        <f t="shared" si="3"/>
        <v>2027799.6700000002</v>
      </c>
      <c r="Q6" s="81">
        <v>2613400</v>
      </c>
      <c r="R6" s="44">
        <f t="shared" si="4"/>
        <v>585600.32999999984</v>
      </c>
      <c r="S6" s="88">
        <f t="shared" si="5"/>
        <v>195200.10999999996</v>
      </c>
      <c r="T6" s="88">
        <f t="shared" si="6"/>
        <v>2687799.67</v>
      </c>
      <c r="U6" s="89">
        <f t="shared" si="7"/>
        <v>-74399.669999999925</v>
      </c>
    </row>
    <row r="7" spans="1:21" s="102" customFormat="1" ht="21.75" customHeight="1" x14ac:dyDescent="0.25">
      <c r="A7" s="98" t="s">
        <v>53</v>
      </c>
      <c r="B7" s="99">
        <v>225735.67999999999</v>
      </c>
      <c r="C7" s="100">
        <v>762825.48</v>
      </c>
      <c r="D7" s="100">
        <v>734134.95</v>
      </c>
      <c r="E7" s="100">
        <v>772849.98</v>
      </c>
      <c r="F7" s="93">
        <v>842973.23</v>
      </c>
      <c r="G7" s="93">
        <v>832537.14</v>
      </c>
      <c r="H7" s="95">
        <v>812908.91</v>
      </c>
      <c r="I7" s="93">
        <v>797177.7</v>
      </c>
      <c r="J7" s="101">
        <v>761481.7</v>
      </c>
      <c r="K7" s="101">
        <v>740413.77</v>
      </c>
      <c r="L7" s="87">
        <f t="shared" si="2"/>
        <v>7283038.540000001</v>
      </c>
      <c r="M7" s="50">
        <v>800000</v>
      </c>
      <c r="N7" s="50">
        <v>800000</v>
      </c>
      <c r="O7" s="50">
        <v>800000</v>
      </c>
      <c r="P7" s="87">
        <f t="shared" si="3"/>
        <v>7283038.540000001</v>
      </c>
      <c r="Q7" s="81">
        <v>9110600</v>
      </c>
      <c r="R7" s="44">
        <f t="shared" si="4"/>
        <v>1827561.459999999</v>
      </c>
      <c r="S7" s="88">
        <f t="shared" si="5"/>
        <v>609187.15333333297</v>
      </c>
      <c r="T7" s="88">
        <f t="shared" si="6"/>
        <v>9683038.540000001</v>
      </c>
      <c r="U7" s="89">
        <f t="shared" si="7"/>
        <v>-572438.54000000097</v>
      </c>
    </row>
    <row r="8" spans="1:21" ht="45" customHeight="1" x14ac:dyDescent="0.25">
      <c r="A8" s="98" t="s">
        <v>301</v>
      </c>
      <c r="B8" s="99">
        <v>0</v>
      </c>
      <c r="C8" s="44">
        <v>0</v>
      </c>
      <c r="D8" s="101">
        <v>0</v>
      </c>
      <c r="E8" s="101">
        <v>0</v>
      </c>
      <c r="F8" s="93">
        <v>0</v>
      </c>
      <c r="G8" s="93">
        <v>0</v>
      </c>
      <c r="H8" s="93">
        <v>0</v>
      </c>
      <c r="I8" s="93">
        <v>0</v>
      </c>
      <c r="J8" s="101">
        <v>0</v>
      </c>
      <c r="K8" s="101"/>
      <c r="L8" s="87">
        <f t="shared" si="2"/>
        <v>0</v>
      </c>
      <c r="M8" s="101"/>
      <c r="N8" s="101"/>
      <c r="O8" s="101"/>
      <c r="P8" s="87">
        <f t="shared" si="3"/>
        <v>0</v>
      </c>
      <c r="Q8" s="81">
        <v>40000</v>
      </c>
      <c r="R8" s="44">
        <f t="shared" si="4"/>
        <v>40000</v>
      </c>
      <c r="S8" s="103">
        <f t="shared" si="5"/>
        <v>13333.333333333334</v>
      </c>
      <c r="T8" s="103">
        <f t="shared" si="6"/>
        <v>0</v>
      </c>
      <c r="U8" s="103">
        <f t="shared" si="7"/>
        <v>40000</v>
      </c>
    </row>
    <row r="9" spans="1:21" s="90" customFormat="1" ht="21.75" customHeight="1" x14ac:dyDescent="0.25">
      <c r="A9" s="84" t="s">
        <v>302</v>
      </c>
      <c r="B9" s="85">
        <f>B10+B11</f>
        <v>192432.01</v>
      </c>
      <c r="C9" s="97">
        <f t="shared" ref="C9:O9" si="10">C10+C11</f>
        <v>406249.84</v>
      </c>
      <c r="D9" s="87">
        <f t="shared" si="10"/>
        <v>384309.24</v>
      </c>
      <c r="E9" s="87">
        <f>E10+E11</f>
        <v>402480.57</v>
      </c>
      <c r="F9" s="87">
        <f t="shared" si="10"/>
        <v>436847.83999999997</v>
      </c>
      <c r="G9" s="86">
        <f t="shared" si="10"/>
        <v>441529.5</v>
      </c>
      <c r="H9" s="86">
        <f t="shared" si="10"/>
        <v>407773.27</v>
      </c>
      <c r="I9" s="87">
        <f t="shared" si="10"/>
        <v>411969.14</v>
      </c>
      <c r="J9" s="87">
        <f t="shared" si="10"/>
        <v>371587.79000000004</v>
      </c>
      <c r="K9" s="87">
        <f t="shared" si="10"/>
        <v>358448.28</v>
      </c>
      <c r="L9" s="87">
        <f t="shared" si="2"/>
        <v>3813627.4800000004</v>
      </c>
      <c r="M9" s="87">
        <f t="shared" si="10"/>
        <v>420000</v>
      </c>
      <c r="N9" s="87">
        <f t="shared" si="10"/>
        <v>430000</v>
      </c>
      <c r="O9" s="87">
        <f t="shared" si="10"/>
        <v>430000</v>
      </c>
      <c r="P9" s="87">
        <f t="shared" si="3"/>
        <v>3813627.4800000004</v>
      </c>
      <c r="Q9" s="44">
        <f>Q10+Q11</f>
        <v>4894000</v>
      </c>
      <c r="R9" s="44">
        <f t="shared" si="4"/>
        <v>1080372.5199999996</v>
      </c>
      <c r="S9" s="88">
        <f t="shared" si="5"/>
        <v>360124.17333333316</v>
      </c>
      <c r="T9" s="88">
        <f t="shared" si="6"/>
        <v>5093627.4800000004</v>
      </c>
      <c r="U9" s="88">
        <f t="shared" si="7"/>
        <v>-199627.48000000045</v>
      </c>
    </row>
    <row r="10" spans="1:21" s="102" customFormat="1" ht="21.75" customHeight="1" x14ac:dyDescent="0.25">
      <c r="A10" s="98" t="s">
        <v>303</v>
      </c>
      <c r="B10" s="99">
        <v>126403.47</v>
      </c>
      <c r="C10" s="100">
        <v>220560.64000000001</v>
      </c>
      <c r="D10" s="100">
        <v>222311.07</v>
      </c>
      <c r="E10" s="100">
        <v>214245</v>
      </c>
      <c r="F10" s="93">
        <v>249733.36</v>
      </c>
      <c r="G10" s="95">
        <v>238286.48</v>
      </c>
      <c r="H10" s="95">
        <v>234242.01</v>
      </c>
      <c r="I10" s="95">
        <v>247155</v>
      </c>
      <c r="J10" s="95">
        <v>204733.2</v>
      </c>
      <c r="K10" s="95">
        <v>211574.25</v>
      </c>
      <c r="L10" s="87">
        <f t="shared" si="2"/>
        <v>2169244.48</v>
      </c>
      <c r="M10" s="52">
        <v>230000</v>
      </c>
      <c r="N10" s="52">
        <v>240000</v>
      </c>
      <c r="O10" s="52">
        <v>240000</v>
      </c>
      <c r="P10" s="87">
        <f t="shared" si="3"/>
        <v>2169244.48</v>
      </c>
      <c r="Q10" s="81">
        <v>2625000</v>
      </c>
      <c r="R10" s="44">
        <f t="shared" si="4"/>
        <v>455755.52000000002</v>
      </c>
      <c r="S10" s="88">
        <f t="shared" si="5"/>
        <v>151918.50666666668</v>
      </c>
      <c r="T10" s="88">
        <f t="shared" si="6"/>
        <v>2879244.48</v>
      </c>
      <c r="U10" s="89">
        <f t="shared" si="7"/>
        <v>-254244.47999999998</v>
      </c>
    </row>
    <row r="11" spans="1:21" ht="45" customHeight="1" x14ac:dyDescent="0.25">
      <c r="A11" s="98" t="s">
        <v>53</v>
      </c>
      <c r="B11" s="99">
        <v>66028.539999999994</v>
      </c>
      <c r="C11" s="100">
        <v>185689.2</v>
      </c>
      <c r="D11" s="104">
        <v>161998.17000000001</v>
      </c>
      <c r="E11" s="104">
        <v>188235.57</v>
      </c>
      <c r="F11" s="93">
        <v>187114.48</v>
      </c>
      <c r="G11" s="95">
        <v>203243.02</v>
      </c>
      <c r="H11" s="95">
        <v>173531.26</v>
      </c>
      <c r="I11" s="95">
        <v>164814.14000000001</v>
      </c>
      <c r="J11" s="81">
        <v>166854.59</v>
      </c>
      <c r="K11" s="81">
        <v>146874.03</v>
      </c>
      <c r="L11" s="87">
        <f t="shared" si="2"/>
        <v>1644383</v>
      </c>
      <c r="M11" s="52">
        <v>190000</v>
      </c>
      <c r="N11" s="52">
        <v>190000</v>
      </c>
      <c r="O11" s="52">
        <v>190000</v>
      </c>
      <c r="P11" s="87">
        <f t="shared" si="3"/>
        <v>1644383</v>
      </c>
      <c r="Q11" s="81">
        <v>2269000</v>
      </c>
      <c r="R11" s="44">
        <f t="shared" si="4"/>
        <v>624617</v>
      </c>
      <c r="S11" s="103">
        <f t="shared" si="5"/>
        <v>208205.66666666666</v>
      </c>
      <c r="T11" s="103">
        <f t="shared" si="6"/>
        <v>2214383</v>
      </c>
      <c r="U11" s="103">
        <f t="shared" si="7"/>
        <v>54617</v>
      </c>
    </row>
    <row r="12" spans="1:21" s="46" customFormat="1" ht="45" customHeight="1" x14ac:dyDescent="0.25">
      <c r="A12" s="84" t="s">
        <v>78</v>
      </c>
      <c r="B12" s="85">
        <f>B13+B14+B15+B16</f>
        <v>68689.17</v>
      </c>
      <c r="C12" s="97">
        <f>C13+C14+C15+C16</f>
        <v>488041.33999999997</v>
      </c>
      <c r="D12" s="97">
        <f t="shared" ref="D12:G12" si="11">D13+D14+D15+D16</f>
        <v>444478.79999999993</v>
      </c>
      <c r="E12" s="97">
        <f t="shared" si="11"/>
        <v>487989.67000000004</v>
      </c>
      <c r="F12" s="97">
        <f t="shared" si="11"/>
        <v>501985.57999999996</v>
      </c>
      <c r="G12" s="97">
        <f t="shared" si="11"/>
        <v>467942.89999999997</v>
      </c>
      <c r="H12" s="86">
        <f>H13+H14+H15+H16</f>
        <v>457103.85</v>
      </c>
      <c r="I12" s="87">
        <f t="shared" ref="I12:O12" si="12">I13+I14+I15+I16</f>
        <v>469097.33</v>
      </c>
      <c r="J12" s="87">
        <f t="shared" si="12"/>
        <v>443494.70999999996</v>
      </c>
      <c r="K12" s="87">
        <f t="shared" si="12"/>
        <v>430063.98</v>
      </c>
      <c r="L12" s="87">
        <f t="shared" si="2"/>
        <v>4258887.33</v>
      </c>
      <c r="M12" s="87">
        <f t="shared" si="12"/>
        <v>501909.73416666663</v>
      </c>
      <c r="N12" s="87">
        <f t="shared" si="12"/>
        <v>501909.73416666663</v>
      </c>
      <c r="O12" s="87">
        <f t="shared" si="12"/>
        <v>501909.73416666663</v>
      </c>
      <c r="P12" s="87">
        <f t="shared" si="3"/>
        <v>4258887.33</v>
      </c>
      <c r="Q12" s="44">
        <f>Q13+Q14+Q15+Q16</f>
        <v>6388000</v>
      </c>
      <c r="R12" s="44">
        <f t="shared" si="4"/>
        <v>2129112.67</v>
      </c>
      <c r="S12" s="103">
        <f t="shared" si="5"/>
        <v>709704.22333333327</v>
      </c>
      <c r="T12" s="103">
        <f t="shared" si="6"/>
        <v>5764616.5325000007</v>
      </c>
      <c r="U12" s="103">
        <f t="shared" si="7"/>
        <v>623383.46749999933</v>
      </c>
    </row>
    <row r="13" spans="1:21" ht="45" customHeight="1" x14ac:dyDescent="0.25">
      <c r="A13" s="98" t="s">
        <v>80</v>
      </c>
      <c r="B13" s="99">
        <v>14879</v>
      </c>
      <c r="C13" s="100">
        <v>219809</v>
      </c>
      <c r="D13" s="101">
        <v>197312</v>
      </c>
      <c r="E13" s="101">
        <v>217704</v>
      </c>
      <c r="F13" s="94">
        <v>221363</v>
      </c>
      <c r="G13" s="93">
        <v>200302</v>
      </c>
      <c r="H13" s="95">
        <v>197126</v>
      </c>
      <c r="I13" s="93">
        <v>204231</v>
      </c>
      <c r="J13" s="101">
        <v>190952</v>
      </c>
      <c r="K13" s="101">
        <v>187533</v>
      </c>
      <c r="L13" s="87">
        <f t="shared" si="2"/>
        <v>1851211</v>
      </c>
      <c r="M13" s="50">
        <v>220000</v>
      </c>
      <c r="N13" s="50">
        <v>220000</v>
      </c>
      <c r="O13" s="50">
        <v>220000</v>
      </c>
      <c r="P13" s="87">
        <f t="shared" si="3"/>
        <v>1851211</v>
      </c>
      <c r="Q13" s="81">
        <v>2700000</v>
      </c>
      <c r="R13" s="44">
        <f t="shared" si="4"/>
        <v>848789</v>
      </c>
      <c r="S13" s="103">
        <f t="shared" si="5"/>
        <v>282929.66666666669</v>
      </c>
      <c r="T13" s="103">
        <f t="shared" si="6"/>
        <v>2511211</v>
      </c>
      <c r="U13" s="103">
        <f t="shared" si="7"/>
        <v>188789</v>
      </c>
    </row>
    <row r="14" spans="1:21" s="48" customFormat="1" ht="45" customHeight="1" x14ac:dyDescent="0.25">
      <c r="A14" s="105" t="s">
        <v>81</v>
      </c>
      <c r="B14" s="106">
        <v>53441.17</v>
      </c>
      <c r="C14" s="100">
        <v>168443.75</v>
      </c>
      <c r="D14" s="93">
        <v>150501.6</v>
      </c>
      <c r="E14" s="93">
        <v>170808.15</v>
      </c>
      <c r="F14" s="93">
        <v>183135.21</v>
      </c>
      <c r="G14" s="93">
        <v>179543.75</v>
      </c>
      <c r="H14" s="107">
        <v>167515.04999999999</v>
      </c>
      <c r="I14" s="93">
        <v>169866.87</v>
      </c>
      <c r="J14" s="93">
        <v>154255.81</v>
      </c>
      <c r="K14" s="93">
        <v>146027.38</v>
      </c>
      <c r="L14" s="87">
        <f t="shared" si="2"/>
        <v>1543538.7399999998</v>
      </c>
      <c r="M14" s="47">
        <v>185000</v>
      </c>
      <c r="N14" s="47">
        <v>185000</v>
      </c>
      <c r="O14" s="47">
        <v>185000</v>
      </c>
      <c r="P14" s="87">
        <f t="shared" si="3"/>
        <v>1543538.7399999998</v>
      </c>
      <c r="Q14" s="95">
        <v>2474700</v>
      </c>
      <c r="R14" s="44">
        <f t="shared" si="4"/>
        <v>931161.26000000024</v>
      </c>
      <c r="S14" s="103">
        <f t="shared" si="5"/>
        <v>310387.08666666673</v>
      </c>
      <c r="T14" s="103">
        <f t="shared" si="6"/>
        <v>2098538.7399999998</v>
      </c>
      <c r="U14" s="103">
        <f t="shared" si="7"/>
        <v>376161.26000000024</v>
      </c>
    </row>
    <row r="15" spans="1:21" ht="45" customHeight="1" x14ac:dyDescent="0.25">
      <c r="A15" s="98" t="s">
        <v>82</v>
      </c>
      <c r="B15" s="99">
        <v>0</v>
      </c>
      <c r="C15" s="100">
        <v>33813.589999999997</v>
      </c>
      <c r="D15" s="100">
        <v>34169.599999999999</v>
      </c>
      <c r="E15" s="100">
        <v>39907.120000000003</v>
      </c>
      <c r="F15" s="100">
        <v>38479.97</v>
      </c>
      <c r="G15" s="93">
        <v>34500.35</v>
      </c>
      <c r="H15" s="95">
        <v>35907</v>
      </c>
      <c r="I15" s="95">
        <v>34441.660000000003</v>
      </c>
      <c r="J15" s="95">
        <v>33106.300000000003</v>
      </c>
      <c r="K15" s="95">
        <v>30060</v>
      </c>
      <c r="L15" s="87">
        <f t="shared" si="2"/>
        <v>314385.59000000003</v>
      </c>
      <c r="M15" s="108">
        <v>31909.734166666662</v>
      </c>
      <c r="N15" s="108">
        <v>31909.734166666662</v>
      </c>
      <c r="O15" s="108">
        <v>31909.734166666662</v>
      </c>
      <c r="P15" s="87">
        <f t="shared" si="3"/>
        <v>314385.59000000003</v>
      </c>
      <c r="Q15" s="81">
        <v>413300</v>
      </c>
      <c r="R15" s="44">
        <f t="shared" si="4"/>
        <v>98914.409999999974</v>
      </c>
      <c r="S15" s="103">
        <f t="shared" si="5"/>
        <v>32971.469999999994</v>
      </c>
      <c r="T15" s="103">
        <f t="shared" si="6"/>
        <v>410114.79249999998</v>
      </c>
      <c r="U15" s="103">
        <f t="shared" si="7"/>
        <v>3185.2075000000186</v>
      </c>
    </row>
    <row r="16" spans="1:21" ht="45" customHeight="1" x14ac:dyDescent="0.25">
      <c r="A16" s="98" t="s">
        <v>84</v>
      </c>
      <c r="B16" s="99">
        <v>369</v>
      </c>
      <c r="C16" s="100">
        <v>65975</v>
      </c>
      <c r="D16" s="101">
        <v>62495.6</v>
      </c>
      <c r="E16" s="101">
        <v>59570.400000000001</v>
      </c>
      <c r="F16" s="93">
        <v>59007.4</v>
      </c>
      <c r="G16" s="93">
        <v>53596.800000000003</v>
      </c>
      <c r="H16" s="95">
        <v>56555.8</v>
      </c>
      <c r="I16" s="93">
        <v>60557.8</v>
      </c>
      <c r="J16" s="101">
        <v>65180.6</v>
      </c>
      <c r="K16" s="101">
        <v>66443.600000000006</v>
      </c>
      <c r="L16" s="87">
        <f t="shared" si="2"/>
        <v>549752</v>
      </c>
      <c r="M16" s="50">
        <v>65000</v>
      </c>
      <c r="N16" s="50">
        <v>65000</v>
      </c>
      <c r="O16" s="50">
        <v>65000</v>
      </c>
      <c r="P16" s="87">
        <f t="shared" si="3"/>
        <v>549752</v>
      </c>
      <c r="Q16" s="81">
        <v>800000</v>
      </c>
      <c r="R16" s="44">
        <f t="shared" si="4"/>
        <v>250248</v>
      </c>
      <c r="S16" s="103">
        <f t="shared" si="5"/>
        <v>83416</v>
      </c>
      <c r="T16" s="103">
        <f t="shared" si="6"/>
        <v>744752</v>
      </c>
      <c r="U16" s="103">
        <f t="shared" si="7"/>
        <v>55248</v>
      </c>
    </row>
    <row r="17" spans="1:21" s="46" customFormat="1" ht="45" customHeight="1" x14ac:dyDescent="0.25">
      <c r="A17" s="84" t="s">
        <v>304</v>
      </c>
      <c r="B17" s="85">
        <f>B18+B19+B20+B21</f>
        <v>38065.339999999997</v>
      </c>
      <c r="C17" s="97">
        <f>C18+C19+C20+C21</f>
        <v>304980.28000000003</v>
      </c>
      <c r="D17" s="97">
        <f t="shared" ref="D17:G17" si="13">D18+D19+D20+D21</f>
        <v>296211.10000000003</v>
      </c>
      <c r="E17" s="97">
        <f t="shared" si="13"/>
        <v>344315.8</v>
      </c>
      <c r="F17" s="97">
        <f t="shared" si="13"/>
        <v>344323.73</v>
      </c>
      <c r="G17" s="97">
        <f t="shared" si="13"/>
        <v>311723.59999999998</v>
      </c>
      <c r="H17" s="86">
        <f>H18+H19+H20+H21</f>
        <v>319980.31</v>
      </c>
      <c r="I17" s="87">
        <f t="shared" ref="I17:O17" si="14">I18+I19+I20+I21</f>
        <v>333654.88</v>
      </c>
      <c r="J17" s="87">
        <f t="shared" si="14"/>
        <v>327360.45999999996</v>
      </c>
      <c r="K17" s="87">
        <f t="shared" si="14"/>
        <v>329679.07</v>
      </c>
      <c r="L17" s="87">
        <f t="shared" si="2"/>
        <v>2950294.57</v>
      </c>
      <c r="M17" s="87">
        <f t="shared" si="14"/>
        <v>340153.68</v>
      </c>
      <c r="N17" s="87">
        <f t="shared" si="14"/>
        <v>340153.68</v>
      </c>
      <c r="O17" s="87">
        <f t="shared" si="14"/>
        <v>340153.68</v>
      </c>
      <c r="P17" s="87">
        <f t="shared" si="3"/>
        <v>2950294.57</v>
      </c>
      <c r="Q17" s="44">
        <f>Q18+Q19+Q20+Q21</f>
        <v>4082800</v>
      </c>
      <c r="R17" s="44">
        <f t="shared" si="4"/>
        <v>1132505.4300000002</v>
      </c>
      <c r="S17" s="103">
        <f t="shared" si="5"/>
        <v>377501.81000000006</v>
      </c>
      <c r="T17" s="103">
        <f t="shared" si="6"/>
        <v>3970755.6100000003</v>
      </c>
      <c r="U17" s="103">
        <f t="shared" si="7"/>
        <v>112044.38999999966</v>
      </c>
    </row>
    <row r="18" spans="1:21" s="54" customFormat="1" ht="45" customHeight="1" x14ac:dyDescent="0.25">
      <c r="A18" s="98" t="s">
        <v>305</v>
      </c>
      <c r="B18" s="99">
        <v>38055.019999999997</v>
      </c>
      <c r="C18" s="109">
        <v>30147.279999999999</v>
      </c>
      <c r="D18" s="101">
        <v>32585.64</v>
      </c>
      <c r="E18" s="101">
        <v>79617.740000000005</v>
      </c>
      <c r="F18" s="93">
        <v>83023.38</v>
      </c>
      <c r="G18" s="109">
        <v>50886.32</v>
      </c>
      <c r="H18" s="95">
        <v>60239.99</v>
      </c>
      <c r="I18" s="109">
        <v>72638.990000000005</v>
      </c>
      <c r="J18" s="109">
        <v>68465.63</v>
      </c>
      <c r="K18" s="109">
        <v>70150.94</v>
      </c>
      <c r="L18" s="87">
        <f t="shared" si="2"/>
        <v>585810.92999999993</v>
      </c>
      <c r="M18" s="53">
        <v>74166.66</v>
      </c>
      <c r="N18" s="53">
        <v>74166.66</v>
      </c>
      <c r="O18" s="53">
        <v>74166.66</v>
      </c>
      <c r="P18" s="87">
        <f t="shared" si="3"/>
        <v>585810.92999999993</v>
      </c>
      <c r="Q18" s="81">
        <v>890000</v>
      </c>
      <c r="R18" s="44">
        <f t="shared" si="4"/>
        <v>304189.07000000007</v>
      </c>
      <c r="S18" s="103">
        <f t="shared" si="5"/>
        <v>101396.35666666669</v>
      </c>
      <c r="T18" s="103">
        <f t="shared" si="6"/>
        <v>808310.91</v>
      </c>
      <c r="U18" s="103">
        <f t="shared" si="7"/>
        <v>81689.089999999967</v>
      </c>
    </row>
    <row r="19" spans="1:21" ht="45" customHeight="1" x14ac:dyDescent="0.25">
      <c r="A19" s="98" t="s">
        <v>97</v>
      </c>
      <c r="B19" s="99">
        <v>10.32</v>
      </c>
      <c r="C19" s="110">
        <v>229833</v>
      </c>
      <c r="D19" s="101">
        <v>229833</v>
      </c>
      <c r="E19" s="101">
        <v>229833</v>
      </c>
      <c r="F19" s="93">
        <v>230008.72</v>
      </c>
      <c r="G19" s="93">
        <v>230987.02</v>
      </c>
      <c r="H19" s="95">
        <v>230987.02</v>
      </c>
      <c r="I19" s="93">
        <v>230987.02</v>
      </c>
      <c r="J19" s="101">
        <v>230525.05</v>
      </c>
      <c r="K19" s="101">
        <v>230525.05</v>
      </c>
      <c r="L19" s="87">
        <f t="shared" si="2"/>
        <v>2073529.2000000002</v>
      </c>
      <c r="M19" s="50">
        <v>230987.02</v>
      </c>
      <c r="N19" s="50">
        <v>230987.02</v>
      </c>
      <c r="O19" s="50">
        <v>230987.02</v>
      </c>
      <c r="P19" s="87">
        <f t="shared" si="3"/>
        <v>2073529.2000000002</v>
      </c>
      <c r="Q19" s="81">
        <v>2772800</v>
      </c>
      <c r="R19" s="44">
        <f t="shared" si="4"/>
        <v>699270.79999999981</v>
      </c>
      <c r="S19" s="103">
        <f t="shared" si="5"/>
        <v>233090.2666666666</v>
      </c>
      <c r="T19" s="103">
        <f t="shared" si="6"/>
        <v>2766490.2600000002</v>
      </c>
      <c r="U19" s="103">
        <f t="shared" si="7"/>
        <v>6309.7399999997579</v>
      </c>
    </row>
    <row r="20" spans="1:21" s="102" customFormat="1" ht="21.75" customHeight="1" x14ac:dyDescent="0.25">
      <c r="A20" s="98" t="s">
        <v>100</v>
      </c>
      <c r="B20" s="99">
        <v>0</v>
      </c>
      <c r="C20" s="43">
        <v>20000</v>
      </c>
      <c r="D20" s="101">
        <v>10000</v>
      </c>
      <c r="E20" s="101">
        <v>10000</v>
      </c>
      <c r="F20" s="93">
        <v>10000</v>
      </c>
      <c r="G20" s="93">
        <v>10000</v>
      </c>
      <c r="H20" s="95">
        <v>10000</v>
      </c>
      <c r="I20" s="93">
        <v>10000</v>
      </c>
      <c r="J20" s="101">
        <v>10000</v>
      </c>
      <c r="K20" s="101">
        <v>10000</v>
      </c>
      <c r="L20" s="87">
        <f t="shared" si="2"/>
        <v>100000</v>
      </c>
      <c r="M20" s="50">
        <v>10000</v>
      </c>
      <c r="N20" s="50">
        <v>10000</v>
      </c>
      <c r="O20" s="50">
        <v>10000</v>
      </c>
      <c r="P20" s="87">
        <f t="shared" si="3"/>
        <v>100000</v>
      </c>
      <c r="Q20" s="81">
        <v>120000</v>
      </c>
      <c r="R20" s="44">
        <f t="shared" si="4"/>
        <v>20000</v>
      </c>
      <c r="S20" s="88">
        <f t="shared" si="5"/>
        <v>6666.666666666667</v>
      </c>
      <c r="T20" s="88">
        <f t="shared" si="6"/>
        <v>130000</v>
      </c>
      <c r="U20" s="89">
        <f t="shared" si="7"/>
        <v>-10000</v>
      </c>
    </row>
    <row r="21" spans="1:21" ht="45" customHeight="1" x14ac:dyDescent="0.25">
      <c r="A21" s="98" t="s">
        <v>306</v>
      </c>
      <c r="B21" s="99">
        <v>0</v>
      </c>
      <c r="C21" s="43">
        <v>25000</v>
      </c>
      <c r="D21" s="101">
        <v>23792.46</v>
      </c>
      <c r="E21" s="101">
        <v>24865.06</v>
      </c>
      <c r="F21" s="93">
        <v>21291.63</v>
      </c>
      <c r="G21" s="93">
        <v>19850.259999999998</v>
      </c>
      <c r="H21" s="95">
        <v>18753.3</v>
      </c>
      <c r="I21" s="93">
        <v>20028.87</v>
      </c>
      <c r="J21" s="101">
        <v>18369.78</v>
      </c>
      <c r="K21" s="101">
        <v>19003.080000000002</v>
      </c>
      <c r="L21" s="87">
        <f t="shared" si="2"/>
        <v>190954.44</v>
      </c>
      <c r="M21" s="50">
        <v>25000</v>
      </c>
      <c r="N21" s="50">
        <v>25000</v>
      </c>
      <c r="O21" s="50">
        <v>25000</v>
      </c>
      <c r="P21" s="87">
        <f t="shared" si="3"/>
        <v>190954.44</v>
      </c>
      <c r="Q21" s="81">
        <v>300000</v>
      </c>
      <c r="R21" s="44">
        <f t="shared" si="4"/>
        <v>109045.56</v>
      </c>
      <c r="S21" s="103">
        <f t="shared" si="5"/>
        <v>36348.519999999997</v>
      </c>
      <c r="T21" s="103">
        <f t="shared" si="6"/>
        <v>265954.44</v>
      </c>
      <c r="U21" s="103">
        <f t="shared" si="7"/>
        <v>34045.56</v>
      </c>
    </row>
    <row r="22" spans="1:21" s="90" customFormat="1" ht="21.75" customHeight="1" x14ac:dyDescent="0.25">
      <c r="A22" s="84" t="s">
        <v>307</v>
      </c>
      <c r="B22" s="85">
        <f>B23+B24+B25+B26+B27+B28+B29</f>
        <v>27413.95</v>
      </c>
      <c r="C22" s="86">
        <f>C23+C24+C25+C26+C27+C28+C29</f>
        <v>1345576.88</v>
      </c>
      <c r="D22" s="86">
        <f t="shared" ref="D22:G22" si="15">D23+D24+D25+D26+D27+D28+D29</f>
        <v>1284321.25</v>
      </c>
      <c r="E22" s="86">
        <f t="shared" si="15"/>
        <v>1317733.6200000001</v>
      </c>
      <c r="F22" s="86">
        <f>F23+F24+F25+F26+F27+F28+F29</f>
        <v>1373069.6400000001</v>
      </c>
      <c r="G22" s="86">
        <f t="shared" si="15"/>
        <v>1338751.3600000001</v>
      </c>
      <c r="H22" s="86">
        <f>H23+H24+H25+H26+H27+H28+H29</f>
        <v>1361793.13</v>
      </c>
      <c r="I22" s="87">
        <f t="shared" ref="I22:O22" si="16">I23+I24+I25+I26+I27+I28+I29</f>
        <v>1360554.01</v>
      </c>
      <c r="J22" s="87">
        <f t="shared" si="16"/>
        <v>1390764.2</v>
      </c>
      <c r="K22" s="87">
        <f t="shared" si="16"/>
        <v>1448371.72</v>
      </c>
      <c r="L22" s="87">
        <f t="shared" si="2"/>
        <v>12248349.76</v>
      </c>
      <c r="M22" s="87">
        <f t="shared" si="16"/>
        <v>1361738</v>
      </c>
      <c r="N22" s="87">
        <f t="shared" si="16"/>
        <v>1361738</v>
      </c>
      <c r="O22" s="87">
        <f t="shared" si="16"/>
        <v>1361738</v>
      </c>
      <c r="P22" s="87">
        <f t="shared" si="3"/>
        <v>12248349.76</v>
      </c>
      <c r="Q22" s="44">
        <f>Q23+Q24+Q25+Q26+Q27+Q28+Q29</f>
        <v>15135400</v>
      </c>
      <c r="R22" s="44">
        <f t="shared" si="4"/>
        <v>2887050.24</v>
      </c>
      <c r="S22" s="88">
        <f t="shared" si="5"/>
        <v>962350.08000000007</v>
      </c>
      <c r="T22" s="88">
        <f t="shared" si="6"/>
        <v>16333563.76</v>
      </c>
      <c r="U22" s="88"/>
    </row>
    <row r="23" spans="1:21" ht="45" customHeight="1" x14ac:dyDescent="0.25">
      <c r="A23" s="98" t="s">
        <v>308</v>
      </c>
      <c r="B23" s="99">
        <v>0</v>
      </c>
      <c r="C23" s="81">
        <v>238774</v>
      </c>
      <c r="D23" s="81">
        <v>238774</v>
      </c>
      <c r="E23" s="81">
        <v>238774</v>
      </c>
      <c r="F23" s="93">
        <v>238774</v>
      </c>
      <c r="G23" s="95">
        <v>238774</v>
      </c>
      <c r="H23" s="95">
        <v>238774</v>
      </c>
      <c r="I23" s="95">
        <v>238774</v>
      </c>
      <c r="J23" s="81">
        <v>238774</v>
      </c>
      <c r="K23" s="81">
        <v>238774</v>
      </c>
      <c r="L23" s="87">
        <f t="shared" si="2"/>
        <v>2148966</v>
      </c>
      <c r="M23" s="52">
        <v>238774</v>
      </c>
      <c r="N23" s="52">
        <v>238774</v>
      </c>
      <c r="O23" s="52">
        <v>238774</v>
      </c>
      <c r="P23" s="87">
        <f t="shared" si="3"/>
        <v>2148966</v>
      </c>
      <c r="Q23" s="81">
        <v>2865300</v>
      </c>
      <c r="R23" s="44">
        <f t="shared" si="4"/>
        <v>716334</v>
      </c>
      <c r="S23" s="103">
        <f t="shared" si="5"/>
        <v>238778</v>
      </c>
      <c r="T23" s="103">
        <f t="shared" si="6"/>
        <v>2865288</v>
      </c>
      <c r="U23" s="103">
        <f t="shared" si="7"/>
        <v>12</v>
      </c>
    </row>
    <row r="24" spans="1:21" ht="45" customHeight="1" x14ac:dyDescent="0.25">
      <c r="A24" s="98" t="s">
        <v>309</v>
      </c>
      <c r="B24" s="99">
        <v>0</v>
      </c>
      <c r="C24" s="110">
        <v>5842</v>
      </c>
      <c r="D24" s="110">
        <v>5842</v>
      </c>
      <c r="E24" s="110">
        <v>5842</v>
      </c>
      <c r="F24" s="93">
        <v>5842</v>
      </c>
      <c r="G24" s="110">
        <v>5842</v>
      </c>
      <c r="H24" s="95">
        <v>5842</v>
      </c>
      <c r="I24" s="110">
        <v>5842</v>
      </c>
      <c r="J24" s="110">
        <v>5842</v>
      </c>
      <c r="K24" s="110">
        <v>5842</v>
      </c>
      <c r="L24" s="87">
        <f t="shared" si="2"/>
        <v>52578</v>
      </c>
      <c r="M24" s="55">
        <v>5842</v>
      </c>
      <c r="N24" s="55">
        <v>5842</v>
      </c>
      <c r="O24" s="55">
        <v>5842</v>
      </c>
      <c r="P24" s="87">
        <f t="shared" si="3"/>
        <v>52578</v>
      </c>
      <c r="Q24" s="81">
        <v>70100</v>
      </c>
      <c r="R24" s="44">
        <f t="shared" si="4"/>
        <v>17522</v>
      </c>
      <c r="S24" s="103">
        <f t="shared" si="5"/>
        <v>5840.666666666667</v>
      </c>
      <c r="T24" s="103">
        <f t="shared" si="6"/>
        <v>70104</v>
      </c>
      <c r="U24" s="103">
        <f t="shared" si="7"/>
        <v>-4</v>
      </c>
    </row>
    <row r="25" spans="1:21" ht="45" customHeight="1" x14ac:dyDescent="0.25">
      <c r="A25" s="98" t="s">
        <v>310</v>
      </c>
      <c r="B25" s="99">
        <v>0</v>
      </c>
      <c r="C25" s="110">
        <v>12582</v>
      </c>
      <c r="D25" s="101">
        <v>12582</v>
      </c>
      <c r="E25" s="101">
        <v>12582</v>
      </c>
      <c r="F25" s="93">
        <v>11580.9</v>
      </c>
      <c r="G25" s="93">
        <v>10578.8</v>
      </c>
      <c r="H25" s="95">
        <v>10578.8</v>
      </c>
      <c r="I25" s="95">
        <v>10578.8</v>
      </c>
      <c r="J25" s="95">
        <v>10578.8</v>
      </c>
      <c r="K25" s="95">
        <v>10578.8</v>
      </c>
      <c r="L25" s="87">
        <f t="shared" si="2"/>
        <v>102220.90000000001</v>
      </c>
      <c r="M25" s="50">
        <v>12582</v>
      </c>
      <c r="N25" s="50">
        <v>12582</v>
      </c>
      <c r="O25" s="50">
        <v>12582</v>
      </c>
      <c r="P25" s="87">
        <f t="shared" si="3"/>
        <v>102220.90000000001</v>
      </c>
      <c r="Q25" s="81">
        <v>151000</v>
      </c>
      <c r="R25" s="44">
        <f t="shared" si="4"/>
        <v>48779.099999999991</v>
      </c>
      <c r="S25" s="103">
        <f t="shared" si="5"/>
        <v>16259.699999999997</v>
      </c>
      <c r="T25" s="103">
        <f t="shared" si="6"/>
        <v>139966.90000000002</v>
      </c>
      <c r="U25" s="103">
        <f t="shared" si="7"/>
        <v>11033.099999999977</v>
      </c>
    </row>
    <row r="26" spans="1:21" ht="45" customHeight="1" x14ac:dyDescent="0.25">
      <c r="A26" s="98" t="s">
        <v>311</v>
      </c>
      <c r="B26" s="99">
        <v>0</v>
      </c>
      <c r="C26" s="110">
        <v>55190</v>
      </c>
      <c r="D26" s="101">
        <v>55190</v>
      </c>
      <c r="E26" s="101">
        <v>55190</v>
      </c>
      <c r="F26" s="93">
        <v>55190</v>
      </c>
      <c r="G26" s="110">
        <v>55190</v>
      </c>
      <c r="H26" s="95">
        <v>55190</v>
      </c>
      <c r="I26" s="110">
        <v>55190</v>
      </c>
      <c r="J26" s="110">
        <v>55190</v>
      </c>
      <c r="K26" s="110">
        <v>55190</v>
      </c>
      <c r="L26" s="87">
        <f t="shared" si="2"/>
        <v>496710</v>
      </c>
      <c r="M26" s="55">
        <v>55190</v>
      </c>
      <c r="N26" s="55">
        <v>55190</v>
      </c>
      <c r="O26" s="55">
        <v>55190</v>
      </c>
      <c r="P26" s="87">
        <f t="shared" si="3"/>
        <v>496710</v>
      </c>
      <c r="Q26" s="81">
        <v>662300</v>
      </c>
      <c r="R26" s="44">
        <f t="shared" si="4"/>
        <v>165590</v>
      </c>
      <c r="S26" s="103">
        <f t="shared" si="5"/>
        <v>55196.666666666664</v>
      </c>
      <c r="T26" s="103">
        <f t="shared" si="6"/>
        <v>662280</v>
      </c>
      <c r="U26" s="103">
        <f t="shared" si="7"/>
        <v>20</v>
      </c>
    </row>
    <row r="27" spans="1:21" ht="45" customHeight="1" x14ac:dyDescent="0.25">
      <c r="A27" s="98" t="s">
        <v>312</v>
      </c>
      <c r="B27" s="99">
        <v>0</v>
      </c>
      <c r="C27" s="110">
        <v>19350</v>
      </c>
      <c r="D27" s="110">
        <v>19350</v>
      </c>
      <c r="E27" s="110">
        <v>19350</v>
      </c>
      <c r="F27" s="93">
        <v>19350</v>
      </c>
      <c r="G27" s="93">
        <v>19350</v>
      </c>
      <c r="H27" s="95">
        <v>19350</v>
      </c>
      <c r="I27" s="93">
        <v>19350</v>
      </c>
      <c r="J27" s="101">
        <v>19350</v>
      </c>
      <c r="K27" s="101">
        <v>19350</v>
      </c>
      <c r="L27" s="87">
        <f t="shared" si="2"/>
        <v>174150</v>
      </c>
      <c r="M27" s="50">
        <v>19350</v>
      </c>
      <c r="N27" s="50">
        <v>19350</v>
      </c>
      <c r="O27" s="50">
        <v>19350</v>
      </c>
      <c r="P27" s="87">
        <f t="shared" si="3"/>
        <v>174150</v>
      </c>
      <c r="Q27" s="81">
        <v>232200</v>
      </c>
      <c r="R27" s="44">
        <f t="shared" si="4"/>
        <v>58050</v>
      </c>
      <c r="S27" s="103">
        <f t="shared" si="5"/>
        <v>19350</v>
      </c>
      <c r="T27" s="103">
        <f t="shared" si="6"/>
        <v>232200</v>
      </c>
      <c r="U27" s="103">
        <f t="shared" si="7"/>
        <v>0</v>
      </c>
    </row>
    <row r="28" spans="1:21" s="102" customFormat="1" ht="21.75" customHeight="1" x14ac:dyDescent="0.25">
      <c r="A28" s="98" t="s">
        <v>313</v>
      </c>
      <c r="B28" s="99">
        <v>27413.95</v>
      </c>
      <c r="C28" s="100">
        <v>968838.88</v>
      </c>
      <c r="D28" s="101">
        <v>907583.25</v>
      </c>
      <c r="E28" s="101">
        <v>943260.62</v>
      </c>
      <c r="F28" s="93">
        <v>996192.74</v>
      </c>
      <c r="G28" s="93">
        <v>964976.56</v>
      </c>
      <c r="H28" s="95">
        <v>986338.33</v>
      </c>
      <c r="I28" s="93">
        <v>986389.21</v>
      </c>
      <c r="J28" s="101">
        <v>1014859.4</v>
      </c>
      <c r="K28" s="101">
        <v>1071646.92</v>
      </c>
      <c r="L28" s="87">
        <f t="shared" si="2"/>
        <v>8867499.8599999994</v>
      </c>
      <c r="M28" s="50">
        <v>985000</v>
      </c>
      <c r="N28" s="50">
        <v>985000</v>
      </c>
      <c r="O28" s="50">
        <v>985000</v>
      </c>
      <c r="P28" s="87">
        <f t="shared" si="3"/>
        <v>8867499.8599999994</v>
      </c>
      <c r="Q28" s="81">
        <v>10614500</v>
      </c>
      <c r="R28" s="44">
        <f t="shared" si="4"/>
        <v>1747000.1400000006</v>
      </c>
      <c r="S28" s="88">
        <f t="shared" si="5"/>
        <v>582333.38000000024</v>
      </c>
      <c r="T28" s="88">
        <f t="shared" si="6"/>
        <v>11822499.859999999</v>
      </c>
      <c r="U28" s="89">
        <f t="shared" si="7"/>
        <v>-1207999.8599999994</v>
      </c>
    </row>
    <row r="29" spans="1:21" s="102" customFormat="1" ht="21.75" customHeight="1" x14ac:dyDescent="0.25">
      <c r="A29" s="98" t="s">
        <v>314</v>
      </c>
      <c r="B29" s="99">
        <v>0</v>
      </c>
      <c r="C29" s="44">
        <v>45000</v>
      </c>
      <c r="D29" s="101">
        <v>45000</v>
      </c>
      <c r="E29" s="101">
        <v>42735</v>
      </c>
      <c r="F29" s="93">
        <v>46140</v>
      </c>
      <c r="G29" s="93">
        <v>44040</v>
      </c>
      <c r="H29" s="95">
        <v>45720</v>
      </c>
      <c r="I29" s="93">
        <v>44430</v>
      </c>
      <c r="J29" s="101">
        <v>46170</v>
      </c>
      <c r="K29" s="101">
        <v>46990</v>
      </c>
      <c r="L29" s="87">
        <f t="shared" si="2"/>
        <v>406225</v>
      </c>
      <c r="M29" s="50">
        <v>45000</v>
      </c>
      <c r="N29" s="50">
        <v>45000</v>
      </c>
      <c r="O29" s="50">
        <v>45000</v>
      </c>
      <c r="P29" s="87">
        <f t="shared" si="3"/>
        <v>406225</v>
      </c>
      <c r="Q29" s="81">
        <v>540000</v>
      </c>
      <c r="R29" s="44">
        <f t="shared" si="4"/>
        <v>133775</v>
      </c>
      <c r="S29" s="88">
        <f t="shared" si="5"/>
        <v>44591.666666666664</v>
      </c>
      <c r="T29" s="88">
        <f t="shared" si="6"/>
        <v>541225</v>
      </c>
      <c r="U29" s="89">
        <f t="shared" si="7"/>
        <v>-1225</v>
      </c>
    </row>
    <row r="30" spans="1:21" s="90" customFormat="1" ht="21.75" customHeight="1" x14ac:dyDescent="0.25">
      <c r="A30" s="84" t="s">
        <v>130</v>
      </c>
      <c r="B30" s="85">
        <f>B31+B32</f>
        <v>7841</v>
      </c>
      <c r="C30" s="86">
        <f>C31+C32</f>
        <v>144222.59999999998</v>
      </c>
      <c r="D30" s="86">
        <f t="shared" ref="D30:G30" si="17">D31+D32</f>
        <v>121680.76000000001</v>
      </c>
      <c r="E30" s="86">
        <f t="shared" si="17"/>
        <v>143915.54999999999</v>
      </c>
      <c r="F30" s="86">
        <f t="shared" si="17"/>
        <v>173967.53</v>
      </c>
      <c r="G30" s="86">
        <f t="shared" si="17"/>
        <v>165088.81</v>
      </c>
      <c r="H30" s="86">
        <f>H31+H32</f>
        <v>146497.49</v>
      </c>
      <c r="I30" s="87">
        <f t="shared" ref="I30:J30" si="18">I31+I32</f>
        <v>153951.53</v>
      </c>
      <c r="J30" s="87">
        <f t="shared" si="18"/>
        <v>156908.99</v>
      </c>
      <c r="K30" s="87">
        <f>K31+K32</f>
        <v>136129.68</v>
      </c>
      <c r="L30" s="87">
        <f t="shared" si="2"/>
        <v>1350203.94</v>
      </c>
      <c r="M30" s="87">
        <f>M31+M32</f>
        <v>141500</v>
      </c>
      <c r="N30" s="87">
        <f>N31+N32</f>
        <v>151500</v>
      </c>
      <c r="O30" s="87">
        <f>O31+O32</f>
        <v>151500</v>
      </c>
      <c r="P30" s="87">
        <f t="shared" si="3"/>
        <v>1350203.94</v>
      </c>
      <c r="Q30" s="44"/>
      <c r="R30" s="44">
        <f t="shared" si="4"/>
        <v>-1350203.94</v>
      </c>
      <c r="S30" s="88">
        <f t="shared" si="5"/>
        <v>-450067.98</v>
      </c>
      <c r="T30" s="88">
        <f t="shared" si="6"/>
        <v>1794703.94</v>
      </c>
      <c r="U30" s="88"/>
    </row>
    <row r="31" spans="1:21" s="102" customFormat="1" ht="21.75" customHeight="1" x14ac:dyDescent="0.25">
      <c r="A31" s="98" t="s">
        <v>131</v>
      </c>
      <c r="B31" s="99"/>
      <c r="C31" s="100">
        <v>73187.399999999994</v>
      </c>
      <c r="D31" s="101">
        <v>74303.460000000006</v>
      </c>
      <c r="E31" s="101">
        <v>74594.850000000006</v>
      </c>
      <c r="F31" s="93">
        <v>75157.83</v>
      </c>
      <c r="G31" s="93">
        <v>76189.960000000006</v>
      </c>
      <c r="H31" s="95">
        <v>76283.789999999994</v>
      </c>
      <c r="I31" s="93">
        <v>77034.429999999993</v>
      </c>
      <c r="J31" s="101">
        <v>77222.09</v>
      </c>
      <c r="K31" s="101">
        <v>77503.58</v>
      </c>
      <c r="L31" s="87">
        <f t="shared" si="2"/>
        <v>681477.3899999999</v>
      </c>
      <c r="M31" s="101">
        <v>76500</v>
      </c>
      <c r="N31" s="101">
        <v>76500</v>
      </c>
      <c r="O31" s="101">
        <v>76500</v>
      </c>
      <c r="P31" s="87">
        <f t="shared" si="3"/>
        <v>681477.3899999999</v>
      </c>
      <c r="Q31" s="81">
        <v>800000</v>
      </c>
      <c r="R31" s="44">
        <f t="shared" si="4"/>
        <v>118522.6100000001</v>
      </c>
      <c r="S31" s="88">
        <f t="shared" si="5"/>
        <v>39507.536666666703</v>
      </c>
      <c r="T31" s="88">
        <f t="shared" si="6"/>
        <v>910977.3899999999</v>
      </c>
      <c r="U31" s="89">
        <f t="shared" si="7"/>
        <v>-110977.3899999999</v>
      </c>
    </row>
    <row r="32" spans="1:21" s="102" customFormat="1" ht="21.75" customHeight="1" x14ac:dyDescent="0.25">
      <c r="A32" s="98" t="s">
        <v>315</v>
      </c>
      <c r="B32" s="99">
        <v>7841</v>
      </c>
      <c r="C32" s="100">
        <v>71035.199999999997</v>
      </c>
      <c r="D32" s="101">
        <v>47377.3</v>
      </c>
      <c r="E32" s="101">
        <v>69320.7</v>
      </c>
      <c r="F32" s="93">
        <v>98809.7</v>
      </c>
      <c r="G32" s="93">
        <v>88898.85</v>
      </c>
      <c r="H32" s="95">
        <v>70213.7</v>
      </c>
      <c r="I32" s="93">
        <v>76917.100000000006</v>
      </c>
      <c r="J32" s="101">
        <v>79686.899999999994</v>
      </c>
      <c r="K32" s="101">
        <v>58626.1</v>
      </c>
      <c r="L32" s="87">
        <f t="shared" si="2"/>
        <v>668726.55000000005</v>
      </c>
      <c r="M32" s="101">
        <v>65000</v>
      </c>
      <c r="N32" s="101">
        <v>75000</v>
      </c>
      <c r="O32" s="101">
        <v>75000</v>
      </c>
      <c r="P32" s="87">
        <f t="shared" si="3"/>
        <v>668726.55000000005</v>
      </c>
      <c r="Q32" s="81">
        <v>794000</v>
      </c>
      <c r="R32" s="44">
        <f t="shared" si="4"/>
        <v>125273.44999999995</v>
      </c>
      <c r="S32" s="88">
        <f t="shared" si="5"/>
        <v>41757.816666666651</v>
      </c>
      <c r="T32" s="88">
        <f t="shared" si="6"/>
        <v>883726.55</v>
      </c>
      <c r="U32" s="89">
        <f t="shared" si="7"/>
        <v>-89726.550000000047</v>
      </c>
    </row>
    <row r="33" spans="1:21" s="46" customFormat="1" ht="45" customHeight="1" x14ac:dyDescent="0.25">
      <c r="A33" s="84" t="s">
        <v>146</v>
      </c>
      <c r="B33" s="85">
        <f>B34</f>
        <v>0</v>
      </c>
      <c r="C33" s="111">
        <v>106166.66</v>
      </c>
      <c r="D33" s="87">
        <f>D34</f>
        <v>106166.65</v>
      </c>
      <c r="E33" s="87">
        <f t="shared" ref="E33:G33" si="19">E34</f>
        <v>105954.32</v>
      </c>
      <c r="F33" s="87">
        <f t="shared" si="19"/>
        <v>106166.65</v>
      </c>
      <c r="G33" s="87">
        <f t="shared" si="19"/>
        <v>105954.32</v>
      </c>
      <c r="H33" s="86">
        <f>H34</f>
        <v>166671.42000000001</v>
      </c>
      <c r="I33" s="87">
        <f t="shared" ref="I33:O33" si="20">I34</f>
        <v>166671.42000000001</v>
      </c>
      <c r="J33" s="87">
        <f t="shared" si="20"/>
        <v>166671.42000000001</v>
      </c>
      <c r="K33" s="87">
        <f t="shared" si="20"/>
        <v>166671.42000000001</v>
      </c>
      <c r="L33" s="87">
        <f t="shared" si="2"/>
        <v>1197094.2800000003</v>
      </c>
      <c r="M33" s="87">
        <f t="shared" si="20"/>
        <v>166671.42000000001</v>
      </c>
      <c r="N33" s="87">
        <f t="shared" si="20"/>
        <v>166671.42000000001</v>
      </c>
      <c r="O33" s="87">
        <f t="shared" si="20"/>
        <v>166671.42000000001</v>
      </c>
      <c r="P33" s="87">
        <f t="shared" si="3"/>
        <v>1197094.2800000003</v>
      </c>
      <c r="Q33" s="44"/>
      <c r="R33" s="44">
        <f t="shared" si="4"/>
        <v>-1197094.2800000003</v>
      </c>
      <c r="S33" s="103">
        <f t="shared" si="5"/>
        <v>-399031.42666666675</v>
      </c>
      <c r="T33" s="103">
        <f t="shared" si="6"/>
        <v>1697108.54</v>
      </c>
      <c r="U33" s="103"/>
    </row>
    <row r="34" spans="1:21" s="48" customFormat="1" ht="45" customHeight="1" x14ac:dyDescent="0.25">
      <c r="A34" s="105" t="s">
        <v>147</v>
      </c>
      <c r="B34" s="106">
        <v>0</v>
      </c>
      <c r="C34" s="109">
        <v>106166.66</v>
      </c>
      <c r="D34" s="95">
        <v>106166.65</v>
      </c>
      <c r="E34" s="95">
        <v>105954.32</v>
      </c>
      <c r="F34" s="95">
        <v>106166.65</v>
      </c>
      <c r="G34" s="95">
        <v>105954.32</v>
      </c>
      <c r="H34" s="95">
        <v>166671.42000000001</v>
      </c>
      <c r="I34" s="95">
        <v>166671.42000000001</v>
      </c>
      <c r="J34" s="95">
        <v>166671.42000000001</v>
      </c>
      <c r="K34" s="95">
        <v>166671.42000000001</v>
      </c>
      <c r="L34" s="87">
        <f t="shared" si="2"/>
        <v>1197094.2800000003</v>
      </c>
      <c r="M34" s="49">
        <v>166671.42000000001</v>
      </c>
      <c r="N34" s="49">
        <v>166671.42000000001</v>
      </c>
      <c r="O34" s="49">
        <v>166671.42000000001</v>
      </c>
      <c r="P34" s="87">
        <f t="shared" si="3"/>
        <v>1197094.2800000003</v>
      </c>
      <c r="Q34" s="95"/>
      <c r="R34" s="44">
        <f t="shared" si="4"/>
        <v>-1197094.2800000003</v>
      </c>
      <c r="S34" s="103">
        <f t="shared" si="5"/>
        <v>-399031.42666666675</v>
      </c>
      <c r="T34" s="103">
        <f t="shared" si="6"/>
        <v>1697108.54</v>
      </c>
      <c r="U34" s="103"/>
    </row>
    <row r="35" spans="1:21" s="90" customFormat="1" ht="21.75" customHeight="1" x14ac:dyDescent="0.25">
      <c r="A35" s="84" t="s">
        <v>149</v>
      </c>
      <c r="B35" s="85">
        <f>B36+B37+B38+B39</f>
        <v>14080</v>
      </c>
      <c r="C35" s="86">
        <f>C36+C37+C38+C39</f>
        <v>1207802.6100000001</v>
      </c>
      <c r="D35" s="86">
        <f t="shared" ref="D35:G35" si="21">D36+D37+D38+D39</f>
        <v>1072629.8400000001</v>
      </c>
      <c r="E35" s="86">
        <f t="shared" si="21"/>
        <v>1109576.2</v>
      </c>
      <c r="F35" s="86">
        <f t="shared" si="21"/>
        <v>1107872.73</v>
      </c>
      <c r="G35" s="86">
        <f t="shared" si="21"/>
        <v>1133887.71</v>
      </c>
      <c r="H35" s="86">
        <f>H36+H37+H38+H39</f>
        <v>1240023.24</v>
      </c>
      <c r="I35" s="86">
        <f t="shared" ref="I35:O35" si="22">I36+I37+I38+I39</f>
        <v>1134663.44</v>
      </c>
      <c r="J35" s="86">
        <f t="shared" si="22"/>
        <v>1160857.56</v>
      </c>
      <c r="K35" s="86">
        <f t="shared" si="22"/>
        <v>1232462.08</v>
      </c>
      <c r="L35" s="87">
        <f t="shared" si="2"/>
        <v>10413855.410000002</v>
      </c>
      <c r="M35" s="86">
        <f t="shared" si="22"/>
        <v>1205636.52</v>
      </c>
      <c r="N35" s="86">
        <f t="shared" si="22"/>
        <v>1185636.52</v>
      </c>
      <c r="O35" s="86">
        <f t="shared" si="22"/>
        <v>1185636.52</v>
      </c>
      <c r="P35" s="87">
        <f t="shared" si="3"/>
        <v>10413855.410000002</v>
      </c>
      <c r="Q35" s="44">
        <f>Q36+Q37+Q38+Q39</f>
        <v>13194000</v>
      </c>
      <c r="R35" s="44">
        <f t="shared" si="4"/>
        <v>2780144.589999998</v>
      </c>
      <c r="S35" s="88">
        <f t="shared" si="5"/>
        <v>926714.8633333327</v>
      </c>
      <c r="T35" s="88">
        <f t="shared" si="6"/>
        <v>13990764.970000001</v>
      </c>
      <c r="U35" s="88"/>
    </row>
    <row r="36" spans="1:21" s="102" customFormat="1" ht="21.75" customHeight="1" x14ac:dyDescent="0.25">
      <c r="A36" s="98" t="s">
        <v>151</v>
      </c>
      <c r="B36" s="99">
        <v>14080</v>
      </c>
      <c r="C36" s="100">
        <v>1065520</v>
      </c>
      <c r="D36" s="101">
        <v>1047880</v>
      </c>
      <c r="E36" s="101">
        <v>1041840</v>
      </c>
      <c r="F36" s="93">
        <v>1084520</v>
      </c>
      <c r="G36" s="93">
        <v>1080080</v>
      </c>
      <c r="H36" s="95">
        <v>1088840</v>
      </c>
      <c r="I36" s="93">
        <v>1092000</v>
      </c>
      <c r="J36" s="101">
        <v>1102720</v>
      </c>
      <c r="K36" s="101">
        <v>1142320</v>
      </c>
      <c r="L36" s="87">
        <f t="shared" si="2"/>
        <v>9759800</v>
      </c>
      <c r="M36" s="50">
        <v>1080000</v>
      </c>
      <c r="N36" s="50">
        <v>1080000</v>
      </c>
      <c r="O36" s="50">
        <v>1080000</v>
      </c>
      <c r="P36" s="87">
        <f t="shared" si="3"/>
        <v>9759800</v>
      </c>
      <c r="Q36" s="81">
        <v>12100000</v>
      </c>
      <c r="R36" s="44">
        <f t="shared" si="4"/>
        <v>2340200</v>
      </c>
      <c r="S36" s="88">
        <f t="shared" si="5"/>
        <v>780066.66666666663</v>
      </c>
      <c r="T36" s="88">
        <f t="shared" si="6"/>
        <v>12999800</v>
      </c>
      <c r="U36" s="89">
        <f t="shared" si="7"/>
        <v>-899800</v>
      </c>
    </row>
    <row r="37" spans="1:21" ht="45" customHeight="1" x14ac:dyDescent="0.25">
      <c r="A37" s="98" t="s">
        <v>152</v>
      </c>
      <c r="B37" s="99">
        <v>0</v>
      </c>
      <c r="C37" s="100">
        <v>9800.5499999999993</v>
      </c>
      <c r="D37" s="101">
        <v>9649.84</v>
      </c>
      <c r="E37" s="101">
        <v>9591.2000000000007</v>
      </c>
      <c r="F37" s="93">
        <v>9463.5400000000009</v>
      </c>
      <c r="G37" s="93">
        <v>9194.5</v>
      </c>
      <c r="H37" s="95">
        <v>8792.9</v>
      </c>
      <c r="I37" s="93">
        <v>9021.25</v>
      </c>
      <c r="J37" s="101">
        <v>8970.7199999999993</v>
      </c>
      <c r="K37" s="101">
        <v>9480.48</v>
      </c>
      <c r="L37" s="87">
        <f t="shared" si="2"/>
        <v>83964.98</v>
      </c>
      <c r="M37" s="50">
        <v>11000</v>
      </c>
      <c r="N37" s="50">
        <v>11000</v>
      </c>
      <c r="O37" s="50">
        <v>11000</v>
      </c>
      <c r="P37" s="87">
        <f t="shared" si="3"/>
        <v>83964.98</v>
      </c>
      <c r="Q37" s="81">
        <v>160000</v>
      </c>
      <c r="R37" s="44">
        <f t="shared" si="4"/>
        <v>76035.02</v>
      </c>
      <c r="S37" s="103">
        <f t="shared" si="5"/>
        <v>25345.006666666668</v>
      </c>
      <c r="T37" s="103">
        <f t="shared" si="6"/>
        <v>116964.98</v>
      </c>
      <c r="U37" s="103">
        <f t="shared" si="7"/>
        <v>43035.020000000004</v>
      </c>
    </row>
    <row r="38" spans="1:21" ht="45" customHeight="1" x14ac:dyDescent="0.25">
      <c r="A38" s="98" t="s">
        <v>154</v>
      </c>
      <c r="B38" s="99">
        <v>0</v>
      </c>
      <c r="C38" s="43">
        <v>120000</v>
      </c>
      <c r="D38" s="101">
        <v>0</v>
      </c>
      <c r="E38" s="101">
        <v>40000</v>
      </c>
      <c r="F38" s="93">
        <v>0</v>
      </c>
      <c r="G38" s="93">
        <v>20000</v>
      </c>
      <c r="H38" s="95">
        <v>120000</v>
      </c>
      <c r="I38" s="93">
        <v>0</v>
      </c>
      <c r="J38" s="101">
        <v>20000</v>
      </c>
      <c r="K38" s="101">
        <v>60000</v>
      </c>
      <c r="L38" s="87">
        <f t="shared" si="2"/>
        <v>380000</v>
      </c>
      <c r="M38" s="50">
        <v>100000</v>
      </c>
      <c r="N38" s="50">
        <v>80000</v>
      </c>
      <c r="O38" s="50">
        <v>80000</v>
      </c>
      <c r="P38" s="87">
        <f t="shared" si="3"/>
        <v>380000</v>
      </c>
      <c r="Q38" s="81">
        <v>700000</v>
      </c>
      <c r="R38" s="44">
        <f t="shared" si="4"/>
        <v>320000</v>
      </c>
      <c r="S38" s="103">
        <f t="shared" si="5"/>
        <v>106666.66666666667</v>
      </c>
      <c r="T38" s="103">
        <f t="shared" si="6"/>
        <v>640000</v>
      </c>
      <c r="U38" s="103">
        <f t="shared" si="7"/>
        <v>60000</v>
      </c>
    </row>
    <row r="39" spans="1:21" ht="45" customHeight="1" x14ac:dyDescent="0.25">
      <c r="A39" s="98" t="s">
        <v>316</v>
      </c>
      <c r="B39" s="99">
        <v>0</v>
      </c>
      <c r="C39" s="43">
        <v>12482.06</v>
      </c>
      <c r="D39" s="101">
        <v>15100</v>
      </c>
      <c r="E39" s="101">
        <v>18145</v>
      </c>
      <c r="F39" s="93">
        <v>13889.19</v>
      </c>
      <c r="G39" s="93">
        <v>24613.21</v>
      </c>
      <c r="H39" s="95">
        <v>22390.34</v>
      </c>
      <c r="I39" s="93">
        <v>33642.19</v>
      </c>
      <c r="J39" s="93">
        <v>29166.84</v>
      </c>
      <c r="K39" s="93">
        <v>20661.599999999999</v>
      </c>
      <c r="L39" s="87">
        <f t="shared" si="2"/>
        <v>190090.43</v>
      </c>
      <c r="M39" s="47">
        <v>14636.52</v>
      </c>
      <c r="N39" s="47">
        <v>14636.52</v>
      </c>
      <c r="O39" s="47">
        <v>14636.52</v>
      </c>
      <c r="P39" s="87">
        <f t="shared" si="3"/>
        <v>190090.43</v>
      </c>
      <c r="Q39" s="81">
        <v>234000</v>
      </c>
      <c r="R39" s="44">
        <f t="shared" si="4"/>
        <v>43909.570000000007</v>
      </c>
      <c r="S39" s="103">
        <f t="shared" si="5"/>
        <v>14636.523333333336</v>
      </c>
      <c r="T39" s="103">
        <f t="shared" si="6"/>
        <v>233999.98999999996</v>
      </c>
      <c r="U39" s="103">
        <f t="shared" si="7"/>
        <v>1.0000000038417056E-2</v>
      </c>
    </row>
    <row r="40" spans="1:21" ht="45" customHeight="1" x14ac:dyDescent="0.25">
      <c r="A40" s="84" t="s">
        <v>159</v>
      </c>
      <c r="B40" s="85">
        <f>B41+B42</f>
        <v>9646.5</v>
      </c>
      <c r="C40" s="86">
        <f t="shared" ref="C40:F40" si="23">C41+C42</f>
        <v>54393</v>
      </c>
      <c r="D40" s="87">
        <f t="shared" si="23"/>
        <v>56608.6</v>
      </c>
      <c r="E40" s="87">
        <f t="shared" si="23"/>
        <v>65216</v>
      </c>
      <c r="F40" s="87">
        <f t="shared" si="23"/>
        <v>72403</v>
      </c>
      <c r="G40" s="112">
        <f>G41+G42</f>
        <v>68948.5</v>
      </c>
      <c r="H40" s="112">
        <f>H41+H42</f>
        <v>75769</v>
      </c>
      <c r="I40" s="86">
        <f t="shared" ref="I40:O40" si="24">I41+I42</f>
        <v>71699.5</v>
      </c>
      <c r="J40" s="86">
        <f t="shared" si="24"/>
        <v>74833.5</v>
      </c>
      <c r="K40" s="86">
        <f t="shared" si="24"/>
        <v>76979</v>
      </c>
      <c r="L40" s="87">
        <f t="shared" si="2"/>
        <v>626496.6</v>
      </c>
      <c r="M40" s="86">
        <f t="shared" si="24"/>
        <v>80000</v>
      </c>
      <c r="N40" s="86">
        <f t="shared" si="24"/>
        <v>80000</v>
      </c>
      <c r="O40" s="86">
        <f t="shared" si="24"/>
        <v>80000</v>
      </c>
      <c r="P40" s="87">
        <f t="shared" si="3"/>
        <v>626496.6</v>
      </c>
      <c r="Q40" s="44">
        <f>Q41+Q42</f>
        <v>2172000</v>
      </c>
      <c r="R40" s="44">
        <f t="shared" si="4"/>
        <v>1545503.4</v>
      </c>
      <c r="S40" s="103">
        <f t="shared" si="5"/>
        <v>515167.8</v>
      </c>
      <c r="T40" s="103">
        <f t="shared" si="6"/>
        <v>866496.6</v>
      </c>
      <c r="U40" s="103">
        <f t="shared" si="7"/>
        <v>1305503.3999999999</v>
      </c>
    </row>
    <row r="41" spans="1:21" ht="45" customHeight="1" x14ac:dyDescent="0.25">
      <c r="A41" s="98" t="s">
        <v>160</v>
      </c>
      <c r="B41" s="99">
        <v>264</v>
      </c>
      <c r="C41" s="100">
        <v>14883</v>
      </c>
      <c r="D41" s="101">
        <v>15796</v>
      </c>
      <c r="E41" s="101">
        <v>16286</v>
      </c>
      <c r="F41" s="93">
        <v>16423</v>
      </c>
      <c r="G41" s="93">
        <v>16456</v>
      </c>
      <c r="H41" s="95">
        <v>16654</v>
      </c>
      <c r="I41" s="93">
        <v>19327</v>
      </c>
      <c r="J41" s="101">
        <v>18711</v>
      </c>
      <c r="K41" s="101">
        <v>18359</v>
      </c>
      <c r="L41" s="87">
        <f t="shared" si="2"/>
        <v>153159</v>
      </c>
      <c r="M41" s="50">
        <v>20000</v>
      </c>
      <c r="N41" s="50">
        <v>20000</v>
      </c>
      <c r="O41" s="50">
        <v>20000</v>
      </c>
      <c r="P41" s="87">
        <f t="shared" si="3"/>
        <v>153159</v>
      </c>
      <c r="Q41" s="81">
        <v>1512000</v>
      </c>
      <c r="R41" s="44">
        <f t="shared" si="4"/>
        <v>1358841</v>
      </c>
      <c r="S41" s="103">
        <f t="shared" si="5"/>
        <v>452947</v>
      </c>
      <c r="T41" s="103">
        <f t="shared" si="6"/>
        <v>213159</v>
      </c>
      <c r="U41" s="103">
        <f t="shared" si="7"/>
        <v>1298841</v>
      </c>
    </row>
    <row r="42" spans="1:21" ht="45" customHeight="1" x14ac:dyDescent="0.25">
      <c r="A42" s="98" t="s">
        <v>161</v>
      </c>
      <c r="B42" s="99">
        <v>9382.5</v>
      </c>
      <c r="C42" s="100">
        <v>39510</v>
      </c>
      <c r="D42" s="101">
        <v>40812.6</v>
      </c>
      <c r="E42" s="101">
        <v>48930</v>
      </c>
      <c r="F42" s="93">
        <v>55980</v>
      </c>
      <c r="G42" s="93">
        <v>52492.5</v>
      </c>
      <c r="H42" s="95">
        <v>59115</v>
      </c>
      <c r="I42" s="93">
        <v>52372.5</v>
      </c>
      <c r="J42" s="101">
        <v>56122.5</v>
      </c>
      <c r="K42" s="101">
        <v>58620</v>
      </c>
      <c r="L42" s="87">
        <f t="shared" si="2"/>
        <v>473337.59999999998</v>
      </c>
      <c r="M42" s="50">
        <v>60000</v>
      </c>
      <c r="N42" s="50">
        <v>60000</v>
      </c>
      <c r="O42" s="50">
        <v>60000</v>
      </c>
      <c r="P42" s="87">
        <f t="shared" si="3"/>
        <v>473337.59999999998</v>
      </c>
      <c r="Q42" s="81">
        <v>660000</v>
      </c>
      <c r="R42" s="44">
        <f t="shared" si="4"/>
        <v>186662.40000000002</v>
      </c>
      <c r="S42" s="103">
        <f t="shared" si="5"/>
        <v>62220.80000000001</v>
      </c>
      <c r="T42" s="103">
        <f t="shared" si="6"/>
        <v>653337.59999999998</v>
      </c>
      <c r="U42" s="103">
        <f t="shared" si="7"/>
        <v>6662.4000000000233</v>
      </c>
    </row>
    <row r="43" spans="1:21" s="46" customFormat="1" ht="45" customHeight="1" x14ac:dyDescent="0.25">
      <c r="A43" s="84" t="s">
        <v>175</v>
      </c>
      <c r="B43" s="85">
        <f>B44+B45+B46</f>
        <v>0</v>
      </c>
      <c r="C43" s="86">
        <f>C44+C45+C46</f>
        <v>50282.84</v>
      </c>
      <c r="D43" s="86">
        <f t="shared" ref="D43:G43" si="25">D44+D45+D46</f>
        <v>40073.82</v>
      </c>
      <c r="E43" s="86">
        <f t="shared" si="25"/>
        <v>41446.06</v>
      </c>
      <c r="F43" s="86">
        <f t="shared" si="25"/>
        <v>47268.04</v>
      </c>
      <c r="G43" s="86">
        <f t="shared" si="25"/>
        <v>40859.619999999995</v>
      </c>
      <c r="H43" s="86">
        <f>H44+H45+H46</f>
        <v>38169.539999999994</v>
      </c>
      <c r="I43" s="86">
        <f t="shared" ref="I43:O43" si="26">I44+I45+I46</f>
        <v>47725.899999999994</v>
      </c>
      <c r="J43" s="86">
        <f t="shared" si="26"/>
        <v>42811.630000000005</v>
      </c>
      <c r="K43" s="86">
        <f t="shared" si="26"/>
        <v>33320.929999999993</v>
      </c>
      <c r="L43" s="87">
        <f t="shared" si="2"/>
        <v>381958.37999999995</v>
      </c>
      <c r="M43" s="86">
        <f t="shared" si="26"/>
        <v>53333</v>
      </c>
      <c r="N43" s="86">
        <f t="shared" si="26"/>
        <v>53333</v>
      </c>
      <c r="O43" s="86">
        <f t="shared" si="26"/>
        <v>53333</v>
      </c>
      <c r="P43" s="87">
        <f t="shared" si="3"/>
        <v>381958.37999999995</v>
      </c>
      <c r="Q43" s="44">
        <f>Q44+Q45+Q46</f>
        <v>600000</v>
      </c>
      <c r="R43" s="44">
        <f t="shared" si="4"/>
        <v>218041.62000000005</v>
      </c>
      <c r="S43" s="103">
        <f t="shared" si="5"/>
        <v>72680.540000000023</v>
      </c>
      <c r="T43" s="103">
        <f t="shared" si="6"/>
        <v>541957.37999999989</v>
      </c>
      <c r="U43" s="103">
        <f t="shared" si="7"/>
        <v>58042.620000000112</v>
      </c>
    </row>
    <row r="44" spans="1:21" ht="45" customHeight="1" x14ac:dyDescent="0.25">
      <c r="A44" s="98" t="s">
        <v>317</v>
      </c>
      <c r="B44" s="99">
        <v>0</v>
      </c>
      <c r="C44" s="113">
        <v>5833</v>
      </c>
      <c r="D44" s="113">
        <v>5833</v>
      </c>
      <c r="E44" s="113">
        <v>5833</v>
      </c>
      <c r="F44" s="113">
        <v>4894.99</v>
      </c>
      <c r="G44" s="113">
        <v>5833.33</v>
      </c>
      <c r="H44" s="113">
        <v>5833.33</v>
      </c>
      <c r="I44" s="113">
        <v>5833.33</v>
      </c>
      <c r="J44" s="113">
        <v>5833.33</v>
      </c>
      <c r="K44" s="113">
        <v>5833.33</v>
      </c>
      <c r="L44" s="87">
        <f t="shared" si="2"/>
        <v>51560.640000000007</v>
      </c>
      <c r="M44" s="50">
        <v>5833</v>
      </c>
      <c r="N44" s="50">
        <v>5833</v>
      </c>
      <c r="O44" s="50">
        <v>5833</v>
      </c>
      <c r="P44" s="87">
        <f t="shared" si="3"/>
        <v>51560.640000000007</v>
      </c>
      <c r="Q44" s="81">
        <v>70000</v>
      </c>
      <c r="R44" s="44">
        <f t="shared" si="4"/>
        <v>18439.359999999993</v>
      </c>
      <c r="S44" s="103">
        <f t="shared" si="5"/>
        <v>6146.4533333333311</v>
      </c>
      <c r="T44" s="103">
        <f t="shared" si="6"/>
        <v>69059.640000000014</v>
      </c>
      <c r="U44" s="103">
        <f t="shared" si="7"/>
        <v>940.35999999998603</v>
      </c>
    </row>
    <row r="45" spans="1:21" ht="45" customHeight="1" x14ac:dyDescent="0.25">
      <c r="A45" s="98" t="s">
        <v>318</v>
      </c>
      <c r="B45" s="99">
        <v>0</v>
      </c>
      <c r="C45" s="100">
        <v>29449.84</v>
      </c>
      <c r="D45" s="101">
        <v>19240.82</v>
      </c>
      <c r="E45" s="101">
        <v>20613.060000000001</v>
      </c>
      <c r="F45" s="93">
        <v>29759.65</v>
      </c>
      <c r="G45" s="93">
        <v>25484.63</v>
      </c>
      <c r="H45" s="95">
        <v>22794.55</v>
      </c>
      <c r="I45" s="93">
        <v>32350.91</v>
      </c>
      <c r="J45" s="101">
        <v>27436.639999999999</v>
      </c>
      <c r="K45" s="101">
        <v>17945.939999999999</v>
      </c>
      <c r="L45" s="87">
        <f t="shared" si="2"/>
        <v>225076.03999999998</v>
      </c>
      <c r="M45" s="50">
        <v>32500</v>
      </c>
      <c r="N45" s="50">
        <v>32500</v>
      </c>
      <c r="O45" s="50">
        <v>32500</v>
      </c>
      <c r="P45" s="87">
        <f t="shared" si="3"/>
        <v>225076.03999999998</v>
      </c>
      <c r="Q45" s="81">
        <v>330000</v>
      </c>
      <c r="R45" s="44">
        <f t="shared" si="4"/>
        <v>104923.96000000002</v>
      </c>
      <c r="S45" s="103">
        <f t="shared" si="5"/>
        <v>34974.653333333343</v>
      </c>
      <c r="T45" s="103">
        <f t="shared" si="6"/>
        <v>322576.03999999998</v>
      </c>
      <c r="U45" s="103">
        <f t="shared" si="7"/>
        <v>7423.960000000021</v>
      </c>
    </row>
    <row r="46" spans="1:21" ht="45" customHeight="1" x14ac:dyDescent="0.25">
      <c r="A46" s="98" t="s">
        <v>319</v>
      </c>
      <c r="B46" s="99">
        <v>0</v>
      </c>
      <c r="C46" s="110">
        <v>15000</v>
      </c>
      <c r="D46" s="110">
        <v>15000</v>
      </c>
      <c r="E46" s="110">
        <v>15000</v>
      </c>
      <c r="F46" s="110">
        <v>12613.4</v>
      </c>
      <c r="G46" s="93">
        <v>9541.66</v>
      </c>
      <c r="H46" s="95">
        <v>9541.66</v>
      </c>
      <c r="I46" s="93">
        <v>9541.66</v>
      </c>
      <c r="J46" s="101">
        <v>9541.66</v>
      </c>
      <c r="K46" s="101">
        <v>9541.66</v>
      </c>
      <c r="L46" s="87">
        <f t="shared" si="2"/>
        <v>105321.70000000001</v>
      </c>
      <c r="M46" s="50">
        <v>15000</v>
      </c>
      <c r="N46" s="50">
        <v>15000</v>
      </c>
      <c r="O46" s="50">
        <v>15000</v>
      </c>
      <c r="P46" s="87">
        <f t="shared" si="3"/>
        <v>105321.70000000001</v>
      </c>
      <c r="Q46" s="81">
        <v>200000</v>
      </c>
      <c r="R46" s="44">
        <f t="shared" si="4"/>
        <v>94678.299999999988</v>
      </c>
      <c r="S46" s="103">
        <f t="shared" si="5"/>
        <v>31559.433333333331</v>
      </c>
      <c r="T46" s="103">
        <f t="shared" si="6"/>
        <v>150321.70000000001</v>
      </c>
      <c r="U46" s="103">
        <f t="shared" si="7"/>
        <v>49678.299999999988</v>
      </c>
    </row>
    <row r="47" spans="1:21" s="46" customFormat="1" ht="45" customHeight="1" x14ac:dyDescent="0.25">
      <c r="A47" s="84" t="s">
        <v>3</v>
      </c>
      <c r="B47" s="85">
        <f>B48+B49+B50+B51+B52+B53</f>
        <v>1523</v>
      </c>
      <c r="C47" s="86">
        <f>C48+C49+C50</f>
        <v>599234.67000000004</v>
      </c>
      <c r="D47" s="87">
        <f>D48+D49+D50</f>
        <v>678928.67</v>
      </c>
      <c r="E47" s="87">
        <f>E48+E49+E50</f>
        <v>670140.67000000004</v>
      </c>
      <c r="F47" s="87">
        <f>F48+F49+F50+F51+F52+F53</f>
        <v>661561.67000000004</v>
      </c>
      <c r="G47" s="87">
        <f>G48+G49+G50+G51+G52+G53</f>
        <v>665473.67000000004</v>
      </c>
      <c r="H47" s="86">
        <f>H48+H49+H50</f>
        <v>643175.67000000004</v>
      </c>
      <c r="I47" s="87">
        <f t="shared" ref="I47:O47" si="27">I48+I49+I50+I51+I52+I53</f>
        <v>589182.65</v>
      </c>
      <c r="J47" s="87">
        <f t="shared" si="27"/>
        <v>549780.65</v>
      </c>
      <c r="K47" s="87">
        <f t="shared" si="27"/>
        <v>605376</v>
      </c>
      <c r="L47" s="87">
        <f t="shared" si="2"/>
        <v>5664377.3200000003</v>
      </c>
      <c r="M47" s="87">
        <f t="shared" si="27"/>
        <v>677399.65</v>
      </c>
      <c r="N47" s="87">
        <f t="shared" si="27"/>
        <v>677399.65</v>
      </c>
      <c r="O47" s="87">
        <f t="shared" si="27"/>
        <v>677399.65</v>
      </c>
      <c r="P47" s="87">
        <f t="shared" si="3"/>
        <v>5664377.3200000003</v>
      </c>
      <c r="Q47" s="44">
        <f>Q48+Q49+Q50+Q51+Q52+Q53</f>
        <v>10100000</v>
      </c>
      <c r="R47" s="44">
        <f t="shared" si="4"/>
        <v>4435622.68</v>
      </c>
      <c r="S47" s="103">
        <f t="shared" si="5"/>
        <v>1478540.8933333333</v>
      </c>
      <c r="T47" s="103">
        <f t="shared" si="6"/>
        <v>7696576.2700000014</v>
      </c>
      <c r="U47" s="103">
        <f t="shared" si="7"/>
        <v>2403423.7299999986</v>
      </c>
    </row>
    <row r="48" spans="1:21" ht="45" customHeight="1" x14ac:dyDescent="0.25">
      <c r="A48" s="98" t="s">
        <v>201</v>
      </c>
      <c r="B48" s="99">
        <v>0</v>
      </c>
      <c r="C48" s="100">
        <v>60383</v>
      </c>
      <c r="D48" s="100">
        <v>60383</v>
      </c>
      <c r="E48" s="100">
        <v>60383</v>
      </c>
      <c r="F48" s="100">
        <v>60383</v>
      </c>
      <c r="G48" s="93">
        <v>60383</v>
      </c>
      <c r="H48" s="95">
        <v>60383</v>
      </c>
      <c r="I48" s="93">
        <v>60383</v>
      </c>
      <c r="J48" s="101">
        <v>60383</v>
      </c>
      <c r="K48" s="101">
        <v>60383</v>
      </c>
      <c r="L48" s="87">
        <f t="shared" si="2"/>
        <v>543447</v>
      </c>
      <c r="M48" s="50">
        <v>60383</v>
      </c>
      <c r="N48" s="50">
        <v>60383</v>
      </c>
      <c r="O48" s="50">
        <v>60383</v>
      </c>
      <c r="P48" s="87">
        <f t="shared" si="3"/>
        <v>543447</v>
      </c>
      <c r="Q48" s="81">
        <v>724600</v>
      </c>
      <c r="R48" s="44">
        <f t="shared" si="4"/>
        <v>181153</v>
      </c>
      <c r="S48" s="103">
        <f t="shared" si="5"/>
        <v>60384.333333333336</v>
      </c>
      <c r="T48" s="103">
        <f t="shared" si="6"/>
        <v>724596</v>
      </c>
      <c r="U48" s="103">
        <f t="shared" si="7"/>
        <v>4</v>
      </c>
    </row>
    <row r="49" spans="1:21" ht="45" customHeight="1" x14ac:dyDescent="0.25">
      <c r="A49" s="98" t="s">
        <v>202</v>
      </c>
      <c r="B49" s="99">
        <v>1523</v>
      </c>
      <c r="C49" s="100">
        <v>501835</v>
      </c>
      <c r="D49" s="101">
        <v>581529</v>
      </c>
      <c r="E49" s="101">
        <v>572741</v>
      </c>
      <c r="F49" s="93">
        <v>564162</v>
      </c>
      <c r="G49" s="93">
        <v>568074</v>
      </c>
      <c r="H49" s="95">
        <v>545776</v>
      </c>
      <c r="I49" s="93">
        <v>491783</v>
      </c>
      <c r="J49" s="101">
        <v>452381</v>
      </c>
      <c r="K49" s="101">
        <v>504996</v>
      </c>
      <c r="L49" s="87">
        <f t="shared" si="2"/>
        <v>4784800</v>
      </c>
      <c r="M49" s="50">
        <v>580000</v>
      </c>
      <c r="N49" s="50">
        <v>580000</v>
      </c>
      <c r="O49" s="50">
        <v>580000</v>
      </c>
      <c r="P49" s="87">
        <f t="shared" si="3"/>
        <v>4784800</v>
      </c>
      <c r="Q49" s="81">
        <v>8923200</v>
      </c>
      <c r="R49" s="44">
        <f t="shared" si="4"/>
        <v>4138400</v>
      </c>
      <c r="S49" s="103">
        <f t="shared" si="5"/>
        <v>1379466.6666666667</v>
      </c>
      <c r="T49" s="103">
        <f t="shared" si="6"/>
        <v>6524800</v>
      </c>
      <c r="U49" s="103">
        <f t="shared" si="7"/>
        <v>2398400</v>
      </c>
    </row>
    <row r="50" spans="1:21" ht="45" customHeight="1" x14ac:dyDescent="0.25">
      <c r="A50" s="98" t="s">
        <v>203</v>
      </c>
      <c r="B50" s="99">
        <v>0</v>
      </c>
      <c r="C50" s="100">
        <v>37016.67</v>
      </c>
      <c r="D50" s="101">
        <v>37016.67</v>
      </c>
      <c r="E50" s="101">
        <v>37016.67</v>
      </c>
      <c r="F50" s="93">
        <v>37016.67</v>
      </c>
      <c r="G50" s="93">
        <v>37016.67</v>
      </c>
      <c r="H50" s="95">
        <v>37016.67</v>
      </c>
      <c r="I50" s="93">
        <v>37016.65</v>
      </c>
      <c r="J50" s="101">
        <v>37016.65</v>
      </c>
      <c r="K50" s="101">
        <v>37016.65</v>
      </c>
      <c r="L50" s="87">
        <f t="shared" si="2"/>
        <v>333149.96999999997</v>
      </c>
      <c r="M50" s="50">
        <v>37016.65</v>
      </c>
      <c r="N50" s="50">
        <v>37016.65</v>
      </c>
      <c r="O50" s="50">
        <v>37016.65</v>
      </c>
      <c r="P50" s="87">
        <f t="shared" si="3"/>
        <v>333149.96999999997</v>
      </c>
      <c r="Q50" s="81">
        <v>444200</v>
      </c>
      <c r="R50" s="44">
        <f t="shared" si="4"/>
        <v>111050.03000000003</v>
      </c>
      <c r="S50" s="103">
        <f t="shared" si="5"/>
        <v>37016.676666666674</v>
      </c>
      <c r="T50" s="103">
        <f t="shared" si="6"/>
        <v>444199.92000000004</v>
      </c>
      <c r="U50" s="103">
        <f t="shared" si="7"/>
        <v>7.9999999958090484E-2</v>
      </c>
    </row>
    <row r="51" spans="1:21" ht="45" customHeight="1" x14ac:dyDescent="0.25">
      <c r="A51" s="98" t="s">
        <v>204</v>
      </c>
      <c r="B51" s="99">
        <v>0</v>
      </c>
      <c r="C51" s="114">
        <v>0</v>
      </c>
      <c r="D51" s="114">
        <v>0</v>
      </c>
      <c r="E51" s="114">
        <v>0</v>
      </c>
      <c r="F51" s="109">
        <v>0</v>
      </c>
      <c r="G51" s="109">
        <v>0</v>
      </c>
      <c r="H51" s="95">
        <v>0</v>
      </c>
      <c r="I51" s="109">
        <v>0</v>
      </c>
      <c r="J51" s="114">
        <v>0</v>
      </c>
      <c r="K51" s="114">
        <v>0</v>
      </c>
      <c r="L51" s="87">
        <f t="shared" si="2"/>
        <v>0</v>
      </c>
      <c r="M51" s="114"/>
      <c r="N51" s="114"/>
      <c r="O51" s="114"/>
      <c r="P51" s="87">
        <f t="shared" si="3"/>
        <v>0</v>
      </c>
      <c r="Q51" s="81">
        <v>0</v>
      </c>
      <c r="R51" s="44">
        <f t="shared" si="4"/>
        <v>0</v>
      </c>
      <c r="S51" s="103">
        <f t="shared" si="5"/>
        <v>0</v>
      </c>
      <c r="T51" s="103">
        <f t="shared" si="6"/>
        <v>0</v>
      </c>
      <c r="U51" s="103">
        <f t="shared" si="7"/>
        <v>0</v>
      </c>
    </row>
    <row r="52" spans="1:21" ht="45" customHeight="1" x14ac:dyDescent="0.25">
      <c r="A52" s="98" t="s">
        <v>320</v>
      </c>
      <c r="B52" s="99">
        <v>0</v>
      </c>
      <c r="C52" s="114">
        <v>0</v>
      </c>
      <c r="D52" s="114">
        <v>0</v>
      </c>
      <c r="E52" s="114">
        <v>0</v>
      </c>
      <c r="F52" s="109">
        <v>0</v>
      </c>
      <c r="G52" s="109">
        <v>0</v>
      </c>
      <c r="H52" s="95">
        <v>0</v>
      </c>
      <c r="I52" s="109">
        <v>0</v>
      </c>
      <c r="J52" s="114">
        <v>0</v>
      </c>
      <c r="K52" s="114">
        <v>0</v>
      </c>
      <c r="L52" s="87">
        <f t="shared" si="2"/>
        <v>0</v>
      </c>
      <c r="M52" s="114"/>
      <c r="N52" s="114"/>
      <c r="O52" s="114"/>
      <c r="P52" s="87">
        <f t="shared" si="3"/>
        <v>0</v>
      </c>
      <c r="Q52" s="81">
        <v>0</v>
      </c>
      <c r="R52" s="44">
        <f t="shared" si="4"/>
        <v>0</v>
      </c>
      <c r="S52" s="103">
        <f t="shared" si="5"/>
        <v>0</v>
      </c>
      <c r="T52" s="103">
        <f t="shared" si="6"/>
        <v>0</v>
      </c>
      <c r="U52" s="103">
        <f t="shared" si="7"/>
        <v>0</v>
      </c>
    </row>
    <row r="53" spans="1:21" ht="45" customHeight="1" x14ac:dyDescent="0.25">
      <c r="A53" s="98" t="s">
        <v>321</v>
      </c>
      <c r="B53" s="99">
        <v>0</v>
      </c>
      <c r="C53" s="43">
        <v>0</v>
      </c>
      <c r="D53" s="43">
        <v>0</v>
      </c>
      <c r="E53" s="43">
        <v>0</v>
      </c>
      <c r="F53" s="43">
        <v>0</v>
      </c>
      <c r="G53" s="43">
        <v>0</v>
      </c>
      <c r="H53" s="95">
        <v>0</v>
      </c>
      <c r="I53" s="43">
        <v>0</v>
      </c>
      <c r="J53" s="43">
        <v>0</v>
      </c>
      <c r="K53" s="43">
        <v>2980.35</v>
      </c>
      <c r="L53" s="87">
        <f t="shared" si="2"/>
        <v>2980.35</v>
      </c>
      <c r="M53" s="43"/>
      <c r="N53" s="43"/>
      <c r="O53" s="43"/>
      <c r="P53" s="87">
        <f t="shared" si="3"/>
        <v>2980.35</v>
      </c>
      <c r="Q53" s="81">
        <v>8000</v>
      </c>
      <c r="R53" s="44">
        <f t="shared" si="4"/>
        <v>5019.6499999999996</v>
      </c>
      <c r="S53" s="103">
        <f t="shared" si="5"/>
        <v>1673.2166666666665</v>
      </c>
      <c r="T53" s="103">
        <f t="shared" si="6"/>
        <v>2980.35</v>
      </c>
      <c r="U53" s="103">
        <f t="shared" si="7"/>
        <v>5019.6499999999996</v>
      </c>
    </row>
    <row r="54" spans="1:21" s="46" customFormat="1" ht="45" customHeight="1" x14ac:dyDescent="0.25">
      <c r="A54" s="84" t="s">
        <v>207</v>
      </c>
      <c r="B54" s="85">
        <f>B55+B56+B57+B58</f>
        <v>141656.76</v>
      </c>
      <c r="C54" s="86">
        <f>C55+C56+C57</f>
        <v>1850739.85</v>
      </c>
      <c r="D54" s="87">
        <f>D55+D56+D57+D58</f>
        <v>2023800.54</v>
      </c>
      <c r="E54" s="87">
        <f>E55+E56+E57+E58</f>
        <v>1937867.4100000001</v>
      </c>
      <c r="F54" s="87">
        <f>F55+F56+F57+F58</f>
        <v>2006440.43</v>
      </c>
      <c r="G54" s="87">
        <f t="shared" ref="G54" si="28">G55+G56+G57+G58</f>
        <v>2021060.6</v>
      </c>
      <c r="H54" s="86">
        <f>H55+H56+H57+H58</f>
        <v>1983387.6300000001</v>
      </c>
      <c r="I54" s="87">
        <f t="shared" ref="I54:O54" si="29">I55+I56+I57</f>
        <v>1853895.18</v>
      </c>
      <c r="J54" s="87">
        <f t="shared" si="29"/>
        <v>1853690.01</v>
      </c>
      <c r="K54" s="87">
        <f t="shared" si="29"/>
        <v>1855605.96</v>
      </c>
      <c r="L54" s="87">
        <f t="shared" si="2"/>
        <v>17528144.370000001</v>
      </c>
      <c r="M54" s="87">
        <f t="shared" si="29"/>
        <v>1859413</v>
      </c>
      <c r="N54" s="87">
        <f t="shared" si="29"/>
        <v>1859413</v>
      </c>
      <c r="O54" s="87">
        <f t="shared" si="29"/>
        <v>1860800</v>
      </c>
      <c r="P54" s="87">
        <f t="shared" si="3"/>
        <v>17528144.370000001</v>
      </c>
      <c r="Q54" s="44">
        <f>Q55+Q56+Q57+Q58</f>
        <v>26000000</v>
      </c>
      <c r="R54" s="44">
        <f t="shared" si="4"/>
        <v>8471855.629999999</v>
      </c>
      <c r="S54" s="103">
        <f t="shared" si="5"/>
        <v>2823951.8766666665</v>
      </c>
      <c r="T54" s="103">
        <f t="shared" si="6"/>
        <v>23107770.370000001</v>
      </c>
      <c r="U54" s="103">
        <f t="shared" si="7"/>
        <v>2892229.629999999</v>
      </c>
    </row>
    <row r="55" spans="1:21" ht="45" customHeight="1" x14ac:dyDescent="0.25">
      <c r="A55" s="98" t="s">
        <v>209</v>
      </c>
      <c r="B55" s="99">
        <v>0</v>
      </c>
      <c r="C55" s="100">
        <v>1529819.85</v>
      </c>
      <c r="D55" s="104">
        <v>1529905.24</v>
      </c>
      <c r="E55" s="101">
        <v>1531760.85</v>
      </c>
      <c r="F55" s="93">
        <v>1533750.48</v>
      </c>
      <c r="G55" s="113">
        <v>1534108.32</v>
      </c>
      <c r="H55" s="95">
        <v>1533687.61</v>
      </c>
      <c r="I55" s="113">
        <v>1531387.18</v>
      </c>
      <c r="J55" s="113">
        <v>1531162.01</v>
      </c>
      <c r="K55" s="113">
        <v>1533117.96</v>
      </c>
      <c r="L55" s="87">
        <f t="shared" si="2"/>
        <v>13788699.5</v>
      </c>
      <c r="M55" s="56">
        <v>1536925</v>
      </c>
      <c r="N55" s="56">
        <v>1536925</v>
      </c>
      <c r="O55" s="56">
        <v>1536925</v>
      </c>
      <c r="P55" s="87">
        <f t="shared" si="3"/>
        <v>13788699.5</v>
      </c>
      <c r="Q55" s="81">
        <v>19765200</v>
      </c>
      <c r="R55" s="44">
        <f t="shared" si="4"/>
        <v>5976500.5</v>
      </c>
      <c r="S55" s="103">
        <f t="shared" si="5"/>
        <v>1992166.8333333333</v>
      </c>
      <c r="T55" s="103">
        <f t="shared" si="6"/>
        <v>18399474.5</v>
      </c>
      <c r="U55" s="103">
        <f t="shared" si="7"/>
        <v>1365725.5</v>
      </c>
    </row>
    <row r="56" spans="1:21" ht="45" customHeight="1" x14ac:dyDescent="0.25">
      <c r="A56" s="98" t="s">
        <v>210</v>
      </c>
      <c r="B56" s="99">
        <v>0</v>
      </c>
      <c r="C56" s="100">
        <v>301844</v>
      </c>
      <c r="D56" s="101">
        <v>306704</v>
      </c>
      <c r="E56" s="101">
        <v>306704</v>
      </c>
      <c r="F56" s="115">
        <v>306704</v>
      </c>
      <c r="G56" s="100">
        <v>306704</v>
      </c>
      <c r="H56" s="95">
        <v>306704</v>
      </c>
      <c r="I56" s="115">
        <v>306704</v>
      </c>
      <c r="J56" s="115">
        <v>306704</v>
      </c>
      <c r="K56" s="115">
        <v>306704</v>
      </c>
      <c r="L56" s="87">
        <f t="shared" si="2"/>
        <v>2755476</v>
      </c>
      <c r="M56" s="57">
        <v>306704</v>
      </c>
      <c r="N56" s="57">
        <v>306704</v>
      </c>
      <c r="O56" s="57">
        <v>306704</v>
      </c>
      <c r="P56" s="87">
        <f t="shared" si="3"/>
        <v>2755476</v>
      </c>
      <c r="Q56" s="81">
        <v>3675600</v>
      </c>
      <c r="R56" s="44">
        <f t="shared" si="4"/>
        <v>920124</v>
      </c>
      <c r="S56" s="103">
        <f t="shared" si="5"/>
        <v>306708</v>
      </c>
      <c r="T56" s="103">
        <f t="shared" si="6"/>
        <v>3675588</v>
      </c>
      <c r="U56" s="103">
        <f t="shared" si="7"/>
        <v>12</v>
      </c>
    </row>
    <row r="57" spans="1:21" ht="45" customHeight="1" x14ac:dyDescent="0.25">
      <c r="A57" s="98" t="s">
        <v>211</v>
      </c>
      <c r="B57" s="99">
        <v>0</v>
      </c>
      <c r="C57" s="116">
        <v>19076</v>
      </c>
      <c r="D57" s="101">
        <v>27328</v>
      </c>
      <c r="E57" s="101">
        <v>18828</v>
      </c>
      <c r="F57" s="93">
        <v>18828</v>
      </c>
      <c r="G57" s="93">
        <v>17171</v>
      </c>
      <c r="H57" s="95">
        <v>15784</v>
      </c>
      <c r="I57" s="95">
        <v>15804</v>
      </c>
      <c r="J57" s="81">
        <v>15824</v>
      </c>
      <c r="K57" s="81">
        <v>15784</v>
      </c>
      <c r="L57" s="87">
        <f t="shared" si="2"/>
        <v>164427</v>
      </c>
      <c r="M57" s="52">
        <v>15784</v>
      </c>
      <c r="N57" s="52">
        <v>15784</v>
      </c>
      <c r="O57" s="52">
        <v>17171</v>
      </c>
      <c r="P57" s="87">
        <f t="shared" si="3"/>
        <v>164427</v>
      </c>
      <c r="Q57" s="81">
        <v>213200</v>
      </c>
      <c r="R57" s="44">
        <f t="shared" si="4"/>
        <v>48773</v>
      </c>
      <c r="S57" s="103">
        <f t="shared" si="5"/>
        <v>16257.666666666666</v>
      </c>
      <c r="T57" s="103">
        <f t="shared" si="6"/>
        <v>213166</v>
      </c>
      <c r="U57" s="103">
        <f t="shared" si="7"/>
        <v>34</v>
      </c>
    </row>
    <row r="58" spans="1:21" ht="45" customHeight="1" x14ac:dyDescent="0.25">
      <c r="A58" s="98" t="s">
        <v>212</v>
      </c>
      <c r="B58" s="99">
        <v>141656.76</v>
      </c>
      <c r="C58" s="95">
        <v>161018.67000000001</v>
      </c>
      <c r="D58" s="101">
        <v>159863.29999999999</v>
      </c>
      <c r="E58" s="101">
        <v>80574.559999999998</v>
      </c>
      <c r="F58" s="93">
        <v>147157.95000000001</v>
      </c>
      <c r="G58" s="93">
        <v>163077.28</v>
      </c>
      <c r="H58" s="95">
        <v>127212.02</v>
      </c>
      <c r="I58" s="95">
        <v>127390.75</v>
      </c>
      <c r="J58" s="117">
        <v>141927.64000000001</v>
      </c>
      <c r="K58" s="117">
        <v>123834.24000000001</v>
      </c>
      <c r="L58" s="87">
        <f t="shared" si="2"/>
        <v>1373713.1700000002</v>
      </c>
      <c r="M58" s="118">
        <v>294236.77999999997</v>
      </c>
      <c r="N58" s="118">
        <v>294236.77999999997</v>
      </c>
      <c r="O58" s="58">
        <v>294236.77999999997</v>
      </c>
      <c r="P58" s="87">
        <f t="shared" si="3"/>
        <v>1373713.1700000002</v>
      </c>
      <c r="Q58" s="81">
        <v>2346000</v>
      </c>
      <c r="R58" s="44">
        <f t="shared" si="4"/>
        <v>972286.82999999984</v>
      </c>
      <c r="S58" s="103">
        <f t="shared" si="5"/>
        <v>324095.60999999993</v>
      </c>
      <c r="T58" s="103">
        <f t="shared" si="6"/>
        <v>2256423.5100000002</v>
      </c>
      <c r="U58" s="103">
        <f t="shared" si="7"/>
        <v>89576.489999999758</v>
      </c>
    </row>
    <row r="59" spans="1:21" s="90" customFormat="1" ht="21.75" customHeight="1" x14ac:dyDescent="0.25">
      <c r="A59" s="84" t="s">
        <v>223</v>
      </c>
      <c r="B59" s="85">
        <f>B60+B61+B62+B63</f>
        <v>2724003.92</v>
      </c>
      <c r="C59" s="86">
        <f>C60+C61+C62+C63</f>
        <v>2162671.7399999998</v>
      </c>
      <c r="D59" s="86">
        <f t="shared" ref="D59:G59" si="30">D60+D61+D62+D63</f>
        <v>1495234.02</v>
      </c>
      <c r="E59" s="86">
        <f t="shared" si="30"/>
        <v>1906223.55</v>
      </c>
      <c r="F59" s="86">
        <f t="shared" si="30"/>
        <v>2287518.33</v>
      </c>
      <c r="G59" s="86">
        <f t="shared" si="30"/>
        <v>2125819.67</v>
      </c>
      <c r="H59" s="86">
        <f>H60+H61+H62+H63</f>
        <v>2283215.37</v>
      </c>
      <c r="I59" s="87">
        <f t="shared" ref="I59:O59" si="31">I60+I61+I62+I63</f>
        <v>2475070.25</v>
      </c>
      <c r="J59" s="87">
        <f t="shared" si="31"/>
        <v>2290702.37</v>
      </c>
      <c r="K59" s="87">
        <f t="shared" si="31"/>
        <v>1600179.94</v>
      </c>
      <c r="L59" s="87">
        <f t="shared" si="2"/>
        <v>21350639.16</v>
      </c>
      <c r="M59" s="87">
        <f t="shared" si="31"/>
        <v>1725833</v>
      </c>
      <c r="N59" s="87">
        <f t="shared" si="31"/>
        <v>1725833</v>
      </c>
      <c r="O59" s="87">
        <f t="shared" si="31"/>
        <v>1725833</v>
      </c>
      <c r="P59" s="87">
        <f t="shared" si="3"/>
        <v>21350639.16</v>
      </c>
      <c r="Q59" s="44">
        <f>Q60+Q61+Q62</f>
        <v>24980000</v>
      </c>
      <c r="R59" s="44">
        <f t="shared" si="4"/>
        <v>3629360.84</v>
      </c>
      <c r="S59" s="88">
        <f t="shared" si="5"/>
        <v>1209786.9466666665</v>
      </c>
      <c r="T59" s="88">
        <f t="shared" si="6"/>
        <v>26528138.16</v>
      </c>
      <c r="U59" s="88"/>
    </row>
    <row r="60" spans="1:21" s="102" customFormat="1" ht="21.75" customHeight="1" x14ac:dyDescent="0.25">
      <c r="A60" s="98" t="s">
        <v>225</v>
      </c>
      <c r="B60" s="99">
        <v>2724003.92</v>
      </c>
      <c r="C60" s="95">
        <v>2137005.0699999998</v>
      </c>
      <c r="D60" s="101">
        <v>1468980.69</v>
      </c>
      <c r="E60" s="101">
        <v>1879550.22</v>
      </c>
      <c r="F60" s="93">
        <v>2261265</v>
      </c>
      <c r="G60" s="93">
        <v>2099986.34</v>
      </c>
      <c r="H60" s="95">
        <v>2256542.04</v>
      </c>
      <c r="I60" s="93">
        <v>2448817.25</v>
      </c>
      <c r="J60" s="101">
        <v>2264449.37</v>
      </c>
      <c r="K60" s="101">
        <v>1574346.94</v>
      </c>
      <c r="L60" s="87">
        <f t="shared" si="2"/>
        <v>21114946.84</v>
      </c>
      <c r="M60" s="50">
        <v>1700000</v>
      </c>
      <c r="N60" s="50">
        <v>1700000</v>
      </c>
      <c r="O60" s="50">
        <v>1700000</v>
      </c>
      <c r="P60" s="87">
        <f t="shared" si="3"/>
        <v>21114946.84</v>
      </c>
      <c r="Q60" s="81">
        <v>24665000</v>
      </c>
      <c r="R60" s="44">
        <f t="shared" si="4"/>
        <v>3550053.16</v>
      </c>
      <c r="S60" s="88">
        <f t="shared" si="5"/>
        <v>1183351.0533333335</v>
      </c>
      <c r="T60" s="88">
        <f t="shared" si="6"/>
        <v>26214946.84</v>
      </c>
      <c r="U60" s="88">
        <f t="shared" si="7"/>
        <v>-1549946.8399999999</v>
      </c>
    </row>
    <row r="61" spans="1:21" ht="45" customHeight="1" x14ac:dyDescent="0.25">
      <c r="A61" s="98" t="s">
        <v>226</v>
      </c>
      <c r="B61" s="99">
        <v>0</v>
      </c>
      <c r="C61" s="114">
        <v>25666.67</v>
      </c>
      <c r="D61" s="93">
        <v>25833.33</v>
      </c>
      <c r="E61" s="93">
        <v>25833.33</v>
      </c>
      <c r="F61" s="93">
        <v>25833.33</v>
      </c>
      <c r="G61" s="93">
        <v>25833.33</v>
      </c>
      <c r="H61" s="95">
        <v>25833.33</v>
      </c>
      <c r="I61" s="93">
        <v>25833</v>
      </c>
      <c r="J61" s="93">
        <v>25833</v>
      </c>
      <c r="K61" s="93">
        <v>25833</v>
      </c>
      <c r="L61" s="87">
        <f t="shared" si="2"/>
        <v>232332.32</v>
      </c>
      <c r="M61" s="47">
        <v>25833</v>
      </c>
      <c r="N61" s="47">
        <v>25833</v>
      </c>
      <c r="O61" s="47">
        <v>25833</v>
      </c>
      <c r="P61" s="87">
        <f t="shared" si="3"/>
        <v>232332.32</v>
      </c>
      <c r="Q61" s="81">
        <v>310000</v>
      </c>
      <c r="R61" s="44">
        <f t="shared" si="4"/>
        <v>77667.679999999993</v>
      </c>
      <c r="S61" s="103">
        <f t="shared" si="5"/>
        <v>25889.226666666666</v>
      </c>
      <c r="T61" s="103">
        <f t="shared" si="6"/>
        <v>309831.32</v>
      </c>
      <c r="U61" s="103">
        <f t="shared" si="7"/>
        <v>168.67999999999302</v>
      </c>
    </row>
    <row r="62" spans="1:21" ht="45" customHeight="1" x14ac:dyDescent="0.25">
      <c r="A62" s="98" t="s">
        <v>227</v>
      </c>
      <c r="B62" s="99">
        <v>0</v>
      </c>
      <c r="C62" s="44">
        <v>0</v>
      </c>
      <c r="D62" s="44">
        <v>420</v>
      </c>
      <c r="E62" s="44">
        <v>840</v>
      </c>
      <c r="F62" s="93">
        <v>420</v>
      </c>
      <c r="G62" s="43">
        <v>0</v>
      </c>
      <c r="H62" s="95">
        <v>840</v>
      </c>
      <c r="I62" s="93">
        <v>420</v>
      </c>
      <c r="J62" s="101">
        <v>420</v>
      </c>
      <c r="K62" s="101"/>
      <c r="L62" s="87">
        <f t="shared" si="2"/>
        <v>3360</v>
      </c>
      <c r="M62" s="101"/>
      <c r="N62" s="101"/>
      <c r="O62" s="101"/>
      <c r="P62" s="87">
        <f t="shared" si="3"/>
        <v>3360</v>
      </c>
      <c r="Q62" s="81">
        <v>5000</v>
      </c>
      <c r="R62" s="44">
        <f t="shared" si="4"/>
        <v>1640</v>
      </c>
      <c r="S62" s="103">
        <f t="shared" si="5"/>
        <v>546.66666666666663</v>
      </c>
      <c r="T62" s="103">
        <f t="shared" si="6"/>
        <v>3360</v>
      </c>
      <c r="U62" s="103">
        <f t="shared" si="7"/>
        <v>1640</v>
      </c>
    </row>
    <row r="63" spans="1:21" ht="45" customHeight="1" x14ac:dyDescent="0.25">
      <c r="A63" s="98" t="s">
        <v>228</v>
      </c>
      <c r="B63" s="99">
        <v>0</v>
      </c>
      <c r="C63" s="44">
        <v>0</v>
      </c>
      <c r="D63" s="44">
        <v>0</v>
      </c>
      <c r="E63" s="44">
        <v>0</v>
      </c>
      <c r="F63" s="93"/>
      <c r="G63" s="43">
        <v>0</v>
      </c>
      <c r="H63" s="95">
        <v>0</v>
      </c>
      <c r="I63" s="93">
        <v>0</v>
      </c>
      <c r="J63" s="101">
        <v>0</v>
      </c>
      <c r="K63" s="101">
        <v>0</v>
      </c>
      <c r="L63" s="87">
        <f t="shared" si="2"/>
        <v>0</v>
      </c>
      <c r="M63" s="101"/>
      <c r="N63" s="101"/>
      <c r="O63" s="101"/>
      <c r="P63" s="87">
        <f t="shared" si="3"/>
        <v>0</v>
      </c>
      <c r="Q63" s="81">
        <v>20000</v>
      </c>
      <c r="R63" s="44">
        <f t="shared" si="4"/>
        <v>20000</v>
      </c>
      <c r="S63" s="103">
        <f t="shared" si="5"/>
        <v>6666.666666666667</v>
      </c>
      <c r="T63" s="103">
        <f t="shared" si="6"/>
        <v>0</v>
      </c>
      <c r="U63" s="103">
        <f t="shared" si="7"/>
        <v>20000</v>
      </c>
    </row>
    <row r="64" spans="1:21" s="46" customFormat="1" ht="45" customHeight="1" x14ac:dyDescent="0.25">
      <c r="A64" s="84" t="s">
        <v>233</v>
      </c>
      <c r="B64" s="85">
        <f>B65+B66</f>
        <v>0</v>
      </c>
      <c r="C64" s="86">
        <f t="shared" ref="C64:G64" si="32">C65+C66</f>
        <v>78108.41</v>
      </c>
      <c r="D64" s="87">
        <f t="shared" si="32"/>
        <v>0</v>
      </c>
      <c r="E64" s="87">
        <f t="shared" si="32"/>
        <v>60197.84</v>
      </c>
      <c r="F64" s="87">
        <f t="shared" si="32"/>
        <v>70220.09</v>
      </c>
      <c r="G64" s="87">
        <f t="shared" si="32"/>
        <v>59785.61</v>
      </c>
      <c r="H64" s="86">
        <f>H65+H66</f>
        <v>100164.70999999999</v>
      </c>
      <c r="I64" s="87">
        <f t="shared" ref="I64:O64" si="33">I65+I66</f>
        <v>89166.69</v>
      </c>
      <c r="J64" s="87">
        <f t="shared" si="33"/>
        <v>0</v>
      </c>
      <c r="K64" s="87">
        <f t="shared" si="33"/>
        <v>38180.5</v>
      </c>
      <c r="L64" s="87">
        <f t="shared" si="2"/>
        <v>495823.85000000003</v>
      </c>
      <c r="M64" s="87">
        <f t="shared" si="33"/>
        <v>85000</v>
      </c>
      <c r="N64" s="87">
        <f t="shared" si="33"/>
        <v>85000</v>
      </c>
      <c r="O64" s="87">
        <f t="shared" si="33"/>
        <v>85000</v>
      </c>
      <c r="P64" s="87">
        <f t="shared" si="3"/>
        <v>495823.85000000003</v>
      </c>
      <c r="Q64" s="44">
        <f>Q65+Q66</f>
        <v>1000000</v>
      </c>
      <c r="R64" s="44">
        <f t="shared" si="4"/>
        <v>504176.14999999997</v>
      </c>
      <c r="S64" s="103">
        <f t="shared" si="5"/>
        <v>168058.71666666665</v>
      </c>
      <c r="T64" s="103">
        <f t="shared" si="6"/>
        <v>750823.85000000009</v>
      </c>
      <c r="U64" s="103">
        <f t="shared" si="7"/>
        <v>249176.14999999991</v>
      </c>
    </row>
    <row r="65" spans="1:21" ht="45" customHeight="1" x14ac:dyDescent="0.25">
      <c r="A65" s="98" t="s">
        <v>234</v>
      </c>
      <c r="B65" s="99">
        <v>0</v>
      </c>
      <c r="C65" s="43">
        <v>63615.33</v>
      </c>
      <c r="D65" s="101">
        <v>0</v>
      </c>
      <c r="E65" s="101">
        <v>53408.46</v>
      </c>
      <c r="F65" s="93">
        <v>51479</v>
      </c>
      <c r="G65" s="93">
        <v>47598.66</v>
      </c>
      <c r="H65" s="95">
        <v>85395.43</v>
      </c>
      <c r="I65" s="95">
        <v>76980.710000000006</v>
      </c>
      <c r="J65" s="81">
        <v>0</v>
      </c>
      <c r="K65" s="81">
        <v>34202.879999999997</v>
      </c>
      <c r="L65" s="87">
        <f t="shared" si="2"/>
        <v>412680.47000000003</v>
      </c>
      <c r="M65" s="52">
        <v>65000</v>
      </c>
      <c r="N65" s="52">
        <v>65000</v>
      </c>
      <c r="O65" s="52">
        <v>65000</v>
      </c>
      <c r="P65" s="87">
        <f t="shared" si="3"/>
        <v>412680.47000000003</v>
      </c>
      <c r="Q65" s="81">
        <v>800000</v>
      </c>
      <c r="R65" s="44">
        <f t="shared" si="4"/>
        <v>387319.52999999997</v>
      </c>
      <c r="S65" s="103">
        <f t="shared" si="5"/>
        <v>129106.51</v>
      </c>
      <c r="T65" s="103">
        <f t="shared" si="6"/>
        <v>607680.47</v>
      </c>
      <c r="U65" s="103">
        <f t="shared" si="7"/>
        <v>192319.53000000003</v>
      </c>
    </row>
    <row r="66" spans="1:21" s="48" customFormat="1" ht="45" customHeight="1" x14ac:dyDescent="0.25">
      <c r="A66" s="105" t="s">
        <v>235</v>
      </c>
      <c r="B66" s="106">
        <v>0</v>
      </c>
      <c r="C66" s="43">
        <v>14493.08</v>
      </c>
      <c r="D66" s="101">
        <v>0</v>
      </c>
      <c r="E66" s="93">
        <v>6789.38</v>
      </c>
      <c r="F66" s="93">
        <v>18741.09</v>
      </c>
      <c r="G66" s="93">
        <v>12186.95</v>
      </c>
      <c r="H66" s="95">
        <v>14769.28</v>
      </c>
      <c r="I66" s="95">
        <v>12185.98</v>
      </c>
      <c r="J66" s="95">
        <v>0</v>
      </c>
      <c r="K66" s="95">
        <v>3977.62</v>
      </c>
      <c r="L66" s="87">
        <f t="shared" si="2"/>
        <v>83143.37999999999</v>
      </c>
      <c r="M66" s="49">
        <v>20000</v>
      </c>
      <c r="N66" s="49">
        <v>20000</v>
      </c>
      <c r="O66" s="49">
        <v>20000</v>
      </c>
      <c r="P66" s="87">
        <f t="shared" si="3"/>
        <v>83143.37999999999</v>
      </c>
      <c r="Q66" s="95">
        <v>200000</v>
      </c>
      <c r="R66" s="44">
        <f t="shared" si="4"/>
        <v>116856.62000000001</v>
      </c>
      <c r="S66" s="103">
        <f t="shared" si="5"/>
        <v>38952.206666666672</v>
      </c>
      <c r="T66" s="103">
        <f t="shared" si="6"/>
        <v>143143.38</v>
      </c>
      <c r="U66" s="103">
        <f t="shared" si="7"/>
        <v>56856.619999999995</v>
      </c>
    </row>
    <row r="67" spans="1:21" s="46" customFormat="1" ht="45" customHeight="1" x14ac:dyDescent="0.25">
      <c r="A67" s="119" t="s">
        <v>322</v>
      </c>
      <c r="B67" s="86">
        <f>B68</f>
        <v>163864.79999999999</v>
      </c>
      <c r="C67" s="86">
        <f>C68</f>
        <v>157808.26999999999</v>
      </c>
      <c r="D67" s="86">
        <f t="shared" ref="D67:G67" si="34">D68</f>
        <v>166387.84</v>
      </c>
      <c r="E67" s="86">
        <f t="shared" si="34"/>
        <v>183867.7</v>
      </c>
      <c r="F67" s="86">
        <f t="shared" si="34"/>
        <v>457843.66</v>
      </c>
      <c r="G67" s="86">
        <f t="shared" si="34"/>
        <v>225250.87</v>
      </c>
      <c r="H67" s="120">
        <f>H68</f>
        <v>244868</v>
      </c>
      <c r="I67" s="121">
        <f>I68</f>
        <v>334418.11</v>
      </c>
      <c r="J67" s="121">
        <f>J68</f>
        <v>279136.40000000002</v>
      </c>
      <c r="K67" s="121">
        <f>K68</f>
        <v>243939.17</v>
      </c>
      <c r="L67" s="87">
        <f t="shared" si="2"/>
        <v>2457384.8199999994</v>
      </c>
      <c r="M67" s="121">
        <f t="shared" ref="M67:O67" si="35">M68</f>
        <v>0</v>
      </c>
      <c r="N67" s="121">
        <f t="shared" si="35"/>
        <v>0</v>
      </c>
      <c r="O67" s="121">
        <f t="shared" si="35"/>
        <v>11042615.18</v>
      </c>
      <c r="P67" s="87">
        <f t="shared" si="3"/>
        <v>2457384.8199999994</v>
      </c>
      <c r="Q67" s="44">
        <f>Q68</f>
        <v>13500000</v>
      </c>
      <c r="R67" s="44">
        <f t="shared" si="4"/>
        <v>11042615.18</v>
      </c>
      <c r="S67" s="103">
        <f t="shared" si="5"/>
        <v>3680871.7266666666</v>
      </c>
      <c r="T67" s="103">
        <f t="shared" si="6"/>
        <v>13500000</v>
      </c>
      <c r="U67" s="103">
        <f t="shared" si="7"/>
        <v>0</v>
      </c>
    </row>
    <row r="68" spans="1:21" ht="45" customHeight="1" x14ac:dyDescent="0.25">
      <c r="A68" s="122" t="s">
        <v>323</v>
      </c>
      <c r="B68" s="81">
        <v>163864.79999999999</v>
      </c>
      <c r="C68" s="81">
        <v>157808.26999999999</v>
      </c>
      <c r="D68" s="101">
        <v>166387.84</v>
      </c>
      <c r="E68" s="101">
        <v>183867.7</v>
      </c>
      <c r="F68" s="93">
        <v>457843.66</v>
      </c>
      <c r="G68" s="93">
        <v>225250.87</v>
      </c>
      <c r="H68" s="95">
        <v>244868</v>
      </c>
      <c r="I68" s="123">
        <v>334418.11</v>
      </c>
      <c r="J68" s="123">
        <v>279136.40000000002</v>
      </c>
      <c r="K68" s="123">
        <v>243939.17</v>
      </c>
      <c r="L68" s="87">
        <f t="shared" ref="L68" si="36">SUM(B68:K68)</f>
        <v>2457384.8199999994</v>
      </c>
      <c r="M68" s="123"/>
      <c r="N68" s="123"/>
      <c r="O68" s="123">
        <v>11042615.18</v>
      </c>
      <c r="P68" s="87">
        <f>B68+C68+D68+E68+F68+G68+H68+I68+J68+K68</f>
        <v>2457384.8199999994</v>
      </c>
      <c r="Q68" s="81">
        <v>13500000</v>
      </c>
      <c r="R68" s="44">
        <f t="shared" ref="R68" si="37">Q68-P68</f>
        <v>11042615.18</v>
      </c>
      <c r="S68" s="103">
        <f t="shared" ref="S68" si="38">R68/3</f>
        <v>3680871.7266666666</v>
      </c>
      <c r="T68" s="103">
        <f t="shared" ref="T68" si="39">B68+C68+D68+E68+F68+G68+H68+I68+J68+K68+M68+N68+O68</f>
        <v>13500000</v>
      </c>
      <c r="U68" s="103">
        <f t="shared" ref="U68" si="40">Q68-T68</f>
        <v>0</v>
      </c>
    </row>
    <row r="69" spans="1:21" ht="58.5" customHeight="1" x14ac:dyDescent="0.25">
      <c r="H69" s="128"/>
      <c r="I69" s="129"/>
      <c r="J69" s="129"/>
      <c r="K69" s="129"/>
      <c r="L69" s="129"/>
      <c r="M69" s="130"/>
      <c r="N69" s="130"/>
      <c r="O69" s="130"/>
      <c r="P69" s="130"/>
      <c r="Q69" s="130"/>
      <c r="R69" s="130"/>
    </row>
    <row r="70" spans="1:21" ht="45" customHeight="1" x14ac:dyDescent="0.25">
      <c r="H70" s="131"/>
      <c r="I70" s="132"/>
      <c r="J70" s="132"/>
      <c r="K70" s="132"/>
      <c r="L70" s="132"/>
      <c r="M70" s="132"/>
      <c r="N70" s="132"/>
      <c r="O70" s="132"/>
      <c r="P70" s="132"/>
      <c r="Q70" s="132"/>
      <c r="R70" s="132"/>
    </row>
    <row r="71" spans="1:21" ht="45" customHeight="1" x14ac:dyDescent="0.25">
      <c r="H71" s="131"/>
      <c r="I71" s="132"/>
      <c r="J71" s="132"/>
      <c r="K71" s="132"/>
      <c r="L71" s="132"/>
      <c r="M71" s="132"/>
      <c r="N71" s="132"/>
      <c r="O71" s="132"/>
      <c r="P71" s="132"/>
      <c r="Q71" s="132"/>
      <c r="R71" s="132"/>
    </row>
    <row r="72" spans="1:21" ht="45" customHeight="1" x14ac:dyDescent="0.25">
      <c r="K72" s="134"/>
      <c r="L72" s="134"/>
      <c r="M72" s="134"/>
      <c r="N72" s="134"/>
      <c r="O72" s="134"/>
      <c r="P72" s="135"/>
    </row>
    <row r="73" spans="1:21" ht="45" customHeight="1" x14ac:dyDescent="0.25">
      <c r="K73" s="136"/>
      <c r="L73" s="136"/>
      <c r="M73" s="136"/>
      <c r="N73" s="136"/>
      <c r="O73" s="136"/>
      <c r="P73" s="135"/>
    </row>
    <row r="74" spans="1:21" ht="45" customHeight="1" x14ac:dyDescent="0.25">
      <c r="G74" s="133"/>
    </row>
    <row r="75" spans="1:21" ht="45" customHeight="1" x14ac:dyDescent="0.25"/>
    <row r="76" spans="1:21" ht="45" customHeight="1" x14ac:dyDescent="0.25"/>
    <row r="77" spans="1:21" ht="45" customHeight="1" x14ac:dyDescent="0.25"/>
    <row r="78" spans="1:21" ht="45" customHeight="1" x14ac:dyDescent="0.25"/>
    <row r="79" spans="1:21" ht="45" customHeight="1" x14ac:dyDescent="0.25"/>
    <row r="80" spans="1:21" ht="45" customHeight="1" x14ac:dyDescent="0.25"/>
    <row r="81" s="51" customFormat="1" ht="45" customHeight="1" x14ac:dyDescent="0.25"/>
    <row r="82" s="51" customFormat="1" ht="45" customHeight="1" x14ac:dyDescent="0.25"/>
    <row r="83" s="51" customFormat="1" ht="45" customHeight="1" x14ac:dyDescent="0.25"/>
    <row r="84" s="51" customFormat="1" ht="45" customHeight="1" x14ac:dyDescent="0.25"/>
    <row r="85" s="51" customFormat="1" ht="45" customHeight="1" x14ac:dyDescent="0.25"/>
    <row r="86" s="51" customFormat="1" ht="45" customHeight="1" x14ac:dyDescent="0.25"/>
    <row r="87" s="51" customFormat="1" ht="45" customHeight="1" x14ac:dyDescent="0.25"/>
    <row r="88" s="51" customFormat="1" ht="45" customHeight="1" x14ac:dyDescent="0.25"/>
    <row r="89" s="51" customFormat="1" ht="45" customHeight="1" x14ac:dyDescent="0.25"/>
    <row r="90" s="51" customFormat="1" ht="45" customHeight="1" x14ac:dyDescent="0.25"/>
    <row r="91" s="51" customFormat="1" ht="45" customHeight="1" x14ac:dyDescent="0.25"/>
    <row r="92" s="51" customFormat="1" ht="45" customHeight="1" x14ac:dyDescent="0.25"/>
    <row r="93" s="51" customFormat="1" ht="45" customHeight="1" x14ac:dyDescent="0.25"/>
    <row r="94" s="51" customFormat="1" ht="45" customHeight="1" x14ac:dyDescent="0.25"/>
    <row r="95" s="51" customFormat="1" ht="45" customHeight="1" x14ac:dyDescent="0.25"/>
    <row r="96" s="51" customFormat="1" ht="45" customHeight="1" x14ac:dyDescent="0.25"/>
    <row r="97" s="51" customFormat="1" ht="45" customHeight="1" x14ac:dyDescent="0.25"/>
    <row r="98" s="51" customFormat="1" ht="45" customHeight="1" x14ac:dyDescent="0.25"/>
    <row r="99" s="51" customFormat="1" ht="45" customHeight="1" x14ac:dyDescent="0.25"/>
    <row r="100" s="51" customFormat="1" ht="45" customHeight="1" x14ac:dyDescent="0.25"/>
    <row r="101" s="51" customFormat="1" ht="45" customHeight="1" x14ac:dyDescent="0.25"/>
    <row r="102" s="51" customFormat="1" ht="45" customHeight="1" x14ac:dyDescent="0.25"/>
    <row r="103" s="51" customFormat="1" ht="45" customHeight="1" x14ac:dyDescent="0.25"/>
    <row r="104" s="51" customFormat="1" ht="45" customHeight="1" x14ac:dyDescent="0.25"/>
    <row r="105" s="51" customFormat="1" ht="45" customHeight="1" x14ac:dyDescent="0.25"/>
    <row r="106" s="51" customFormat="1" ht="45" customHeight="1" x14ac:dyDescent="0.25"/>
    <row r="107" s="51" customFormat="1" ht="45" customHeight="1" x14ac:dyDescent="0.25"/>
    <row r="108" s="51" customFormat="1" ht="45" customHeight="1" x14ac:dyDescent="0.25"/>
    <row r="109" s="51" customFormat="1" ht="45" customHeight="1" x14ac:dyDescent="0.25"/>
    <row r="110" s="51" customFormat="1" ht="45" customHeight="1" x14ac:dyDescent="0.25"/>
    <row r="111" s="51" customFormat="1" ht="45" customHeight="1" x14ac:dyDescent="0.25"/>
    <row r="112" s="51" customFormat="1" ht="45" customHeight="1" x14ac:dyDescent="0.25"/>
    <row r="113" spans="1:18" ht="45" customHeight="1" x14ac:dyDescent="0.25">
      <c r="A113" s="51"/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</row>
    <row r="114" spans="1:18" ht="45" customHeight="1" x14ac:dyDescent="0.25">
      <c r="A114" s="51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</row>
    <row r="115" spans="1:18" ht="45" customHeight="1" x14ac:dyDescent="0.25">
      <c r="A115" s="51"/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</row>
    <row r="116" spans="1:18" ht="45" customHeight="1" x14ac:dyDescent="0.25">
      <c r="A116" s="51"/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</row>
    <row r="117" spans="1:18" ht="45" customHeight="1" x14ac:dyDescent="0.25">
      <c r="A117" s="51"/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</row>
    <row r="118" spans="1:18" ht="45" customHeight="1" x14ac:dyDescent="0.25">
      <c r="A118" s="51"/>
      <c r="B118" s="51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</row>
    <row r="119" spans="1:18" ht="45" customHeight="1" x14ac:dyDescent="0.25">
      <c r="A119" s="51"/>
      <c r="B119" s="51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</row>
    <row r="120" spans="1:18" ht="45" customHeight="1" x14ac:dyDescent="0.25">
      <c r="A120" s="51"/>
      <c r="B120" s="51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</row>
    <row r="121" spans="1:18" ht="45" customHeight="1" x14ac:dyDescent="0.25">
      <c r="A121" s="51"/>
      <c r="B121" s="51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</row>
    <row r="122" spans="1:18" ht="45" customHeight="1" x14ac:dyDescent="0.25">
      <c r="A122" s="51"/>
      <c r="B122" s="51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</row>
    <row r="123" spans="1:18" ht="45" customHeight="1" x14ac:dyDescent="0.25">
      <c r="A123" s="51"/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</row>
    <row r="124" spans="1:18" ht="45" customHeight="1" x14ac:dyDescent="0.25">
      <c r="A124" s="51"/>
      <c r="B124" s="51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</row>
    <row r="125" spans="1:18" ht="45" customHeight="1" x14ac:dyDescent="0.25">
      <c r="A125" s="51"/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</row>
    <row r="126" spans="1:18" ht="45" customHeight="1" x14ac:dyDescent="0.25">
      <c r="A126" s="51"/>
      <c r="B126" s="51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</row>
    <row r="127" spans="1:18" ht="45" customHeight="1" x14ac:dyDescent="0.25">
      <c r="A127" s="51"/>
      <c r="B127" s="51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</row>
    <row r="128" spans="1:18" ht="45" customHeight="1" x14ac:dyDescent="0.25">
      <c r="A128" s="51"/>
      <c r="B128" s="51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</row>
    <row r="129" spans="1:18" ht="45" customHeight="1" x14ac:dyDescent="0.25">
      <c r="A129" s="51"/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</row>
    <row r="130" spans="1:18" ht="45" customHeight="1" x14ac:dyDescent="0.25">
      <c r="A130" s="51"/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</row>
    <row r="131" spans="1:18" ht="45" customHeight="1" x14ac:dyDescent="0.25">
      <c r="A131" s="51"/>
      <c r="B131" s="51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</row>
    <row r="132" spans="1:18" ht="45" customHeight="1" x14ac:dyDescent="0.25">
      <c r="A132" s="51"/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</row>
    <row r="133" spans="1:18" ht="45" customHeight="1" x14ac:dyDescent="0.25">
      <c r="A133" s="51"/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</row>
    <row r="134" spans="1:18" ht="45" customHeight="1" x14ac:dyDescent="0.25">
      <c r="A134" s="51"/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</row>
    <row r="135" spans="1:18" ht="45" customHeight="1" x14ac:dyDescent="0.25">
      <c r="A135" s="51"/>
      <c r="B135" s="51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</row>
    <row r="136" spans="1:18" ht="45" customHeight="1" x14ac:dyDescent="0.25">
      <c r="A136" s="51"/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</row>
    <row r="137" spans="1:18" ht="45" customHeight="1" x14ac:dyDescent="0.25">
      <c r="A137" s="51"/>
      <c r="B137" s="51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</row>
    <row r="138" spans="1:18" ht="45" customHeight="1" x14ac:dyDescent="0.25">
      <c r="A138" s="51"/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</row>
    <row r="139" spans="1:18" ht="45" customHeight="1" x14ac:dyDescent="0.25">
      <c r="A139" s="51"/>
      <c r="B139" s="51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</row>
    <row r="140" spans="1:18" ht="45" customHeight="1" x14ac:dyDescent="0.25">
      <c r="A140" s="51"/>
      <c r="B140" s="51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</row>
    <row r="141" spans="1:18" ht="45" customHeight="1" x14ac:dyDescent="0.25">
      <c r="A141" s="51"/>
      <c r="B141" s="51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R141" s="51"/>
    </row>
    <row r="142" spans="1:18" ht="45" customHeight="1" x14ac:dyDescent="0.25">
      <c r="A142" s="51"/>
      <c r="B142" s="51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</row>
    <row r="143" spans="1:18" ht="45" customHeight="1" x14ac:dyDescent="0.25">
      <c r="A143" s="51"/>
      <c r="B143" s="51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</row>
    <row r="144" spans="1:18" ht="45" customHeight="1" x14ac:dyDescent="0.25">
      <c r="A144" s="51"/>
      <c r="B144" s="51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R144" s="51"/>
    </row>
    <row r="145" spans="1:18" ht="45" customHeight="1" x14ac:dyDescent="0.25">
      <c r="A145" s="51"/>
      <c r="B145" s="51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</row>
    <row r="146" spans="1:18" ht="45" customHeight="1" x14ac:dyDescent="0.25">
      <c r="A146" s="51"/>
      <c r="B146" s="51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</row>
  </sheetData>
  <mergeCells count="1">
    <mergeCell ref="A1:P1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opLeftCell="A4" workbookViewId="0">
      <selection activeCell="F24" sqref="F24"/>
    </sheetView>
  </sheetViews>
  <sheetFormatPr defaultRowHeight="15" x14ac:dyDescent="0.25"/>
  <cols>
    <col min="1" max="1" width="23.140625" bestFit="1" customWidth="1"/>
    <col min="2" max="2" width="14.7109375" bestFit="1" customWidth="1"/>
    <col min="3" max="3" width="11" bestFit="1" customWidth="1"/>
    <col min="4" max="4" width="16.5703125" bestFit="1" customWidth="1"/>
    <col min="5" max="5" width="10" bestFit="1" customWidth="1"/>
    <col min="6" max="6" width="15.140625" bestFit="1" customWidth="1"/>
    <col min="7" max="7" width="10.7109375" bestFit="1" customWidth="1"/>
    <col min="10" max="10" width="15.140625" bestFit="1" customWidth="1"/>
  </cols>
  <sheetData>
    <row r="1" spans="1:12" ht="90" x14ac:dyDescent="0.25">
      <c r="A1" s="77" t="s">
        <v>411</v>
      </c>
      <c r="B1" s="77" t="s">
        <v>412</v>
      </c>
      <c r="C1" s="78" t="s">
        <v>413</v>
      </c>
      <c r="D1" s="78" t="s">
        <v>414</v>
      </c>
      <c r="E1" s="78" t="s">
        <v>415</v>
      </c>
      <c r="F1" s="78" t="s">
        <v>416</v>
      </c>
      <c r="G1" s="78" t="s">
        <v>279</v>
      </c>
      <c r="H1" s="78" t="s">
        <v>417</v>
      </c>
      <c r="I1" s="77" t="s">
        <v>418</v>
      </c>
      <c r="J1" s="77" t="s">
        <v>417</v>
      </c>
      <c r="K1" s="73"/>
      <c r="L1" s="73"/>
    </row>
    <row r="2" spans="1:12" x14ac:dyDescent="0.25">
      <c r="A2" s="74" t="s">
        <v>419</v>
      </c>
      <c r="B2" s="74">
        <v>6050200</v>
      </c>
      <c r="C2" s="74">
        <v>6838839.8600000003</v>
      </c>
      <c r="D2" s="72">
        <v>5810918.8899999987</v>
      </c>
      <c r="E2" s="74"/>
      <c r="F2" s="72">
        <v>976869.6</v>
      </c>
      <c r="G2" s="74">
        <v>-788639.86000000034</v>
      </c>
      <c r="H2" s="74"/>
      <c r="I2" s="77">
        <v>450000</v>
      </c>
      <c r="J2" s="77"/>
      <c r="K2" s="73">
        <v>297519.38</v>
      </c>
      <c r="L2" s="73">
        <v>82481.110000001267</v>
      </c>
    </row>
    <row r="3" spans="1:12" x14ac:dyDescent="0.25">
      <c r="A3" s="74" t="s">
        <v>420</v>
      </c>
      <c r="B3" s="74">
        <v>251800</v>
      </c>
      <c r="C3" s="74">
        <v>95000</v>
      </c>
      <c r="D3" s="77">
        <v>95000</v>
      </c>
      <c r="E3" s="74">
        <v>28500</v>
      </c>
      <c r="F3" s="74">
        <v>0</v>
      </c>
      <c r="G3" s="74">
        <v>156800</v>
      </c>
      <c r="H3" s="74"/>
      <c r="I3" s="77"/>
      <c r="J3" s="77">
        <v>156800</v>
      </c>
      <c r="K3" s="73"/>
      <c r="L3" s="73"/>
    </row>
    <row r="4" spans="1:12" x14ac:dyDescent="0.25">
      <c r="A4" s="74" t="s">
        <v>421</v>
      </c>
      <c r="B4" s="74">
        <v>184000</v>
      </c>
      <c r="C4" s="74">
        <v>154121.79999999999</v>
      </c>
      <c r="D4" s="74">
        <v>163387.63999999998</v>
      </c>
      <c r="E4" s="74">
        <v>154163.79999999999</v>
      </c>
      <c r="F4" s="74">
        <v>2268</v>
      </c>
      <c r="G4" s="74">
        <v>29878.200000000012</v>
      </c>
      <c r="H4" s="74"/>
      <c r="I4" s="77"/>
      <c r="J4" s="77">
        <v>20700</v>
      </c>
      <c r="K4" s="73"/>
      <c r="L4" s="73">
        <v>18344.360000000015</v>
      </c>
    </row>
    <row r="5" spans="1:12" x14ac:dyDescent="0.25">
      <c r="A5" s="74" t="s">
        <v>304</v>
      </c>
      <c r="B5" s="74">
        <v>881200</v>
      </c>
      <c r="C5" s="74">
        <v>846555.48199999996</v>
      </c>
      <c r="D5" s="74">
        <v>741263.41999999993</v>
      </c>
      <c r="E5" s="74">
        <v>0</v>
      </c>
      <c r="F5" s="74">
        <v>58150.64</v>
      </c>
      <c r="G5" s="74">
        <v>34644.51800000004</v>
      </c>
      <c r="H5" s="74"/>
      <c r="I5" s="77"/>
      <c r="J5" s="77">
        <v>30000</v>
      </c>
      <c r="K5" s="73"/>
      <c r="L5" s="73"/>
    </row>
    <row r="6" spans="1:12" x14ac:dyDescent="0.25">
      <c r="A6" s="74" t="s">
        <v>422</v>
      </c>
      <c r="B6" s="74">
        <v>847000</v>
      </c>
      <c r="C6" s="74">
        <v>580271.87</v>
      </c>
      <c r="D6" s="74">
        <v>506549.04000000004</v>
      </c>
      <c r="E6" s="74">
        <v>110134.8</v>
      </c>
      <c r="F6" s="74">
        <v>47580</v>
      </c>
      <c r="G6" s="74">
        <v>266728.13</v>
      </c>
      <c r="H6" s="74"/>
      <c r="I6" s="77"/>
      <c r="J6" s="77">
        <v>230000</v>
      </c>
      <c r="K6" s="73"/>
      <c r="L6" s="73"/>
    </row>
    <row r="7" spans="1:12" x14ac:dyDescent="0.25">
      <c r="A7" s="74" t="s">
        <v>423</v>
      </c>
      <c r="B7" s="74">
        <v>17923000</v>
      </c>
      <c r="C7" s="80"/>
      <c r="D7" s="80">
        <v>10942154.639999999</v>
      </c>
      <c r="E7" s="80"/>
      <c r="F7" s="139">
        <v>6354837.2400000002</v>
      </c>
      <c r="G7" s="74">
        <v>17923000</v>
      </c>
      <c r="H7" s="74"/>
      <c r="I7" s="77"/>
      <c r="J7" s="137">
        <v>200000</v>
      </c>
      <c r="K7" s="73"/>
      <c r="L7" s="73"/>
    </row>
    <row r="8" spans="1:12" x14ac:dyDescent="0.25">
      <c r="A8" s="74" t="s">
        <v>424</v>
      </c>
      <c r="B8" s="74">
        <v>642000</v>
      </c>
      <c r="C8" s="74">
        <v>247406.24</v>
      </c>
      <c r="D8" s="74">
        <v>176682.55</v>
      </c>
      <c r="E8" s="74">
        <v>70859.179999999993</v>
      </c>
      <c r="F8" s="74">
        <v>70804.509999999995</v>
      </c>
      <c r="G8" s="74">
        <v>394593.76</v>
      </c>
      <c r="H8" s="74"/>
      <c r="I8" s="77"/>
      <c r="J8" s="77">
        <v>270000</v>
      </c>
      <c r="K8" s="73"/>
      <c r="L8" s="73"/>
    </row>
    <row r="9" spans="1:12" x14ac:dyDescent="0.25">
      <c r="A9" s="74" t="s">
        <v>425</v>
      </c>
      <c r="B9" s="74">
        <v>521000</v>
      </c>
      <c r="C9" s="74">
        <v>474364.79</v>
      </c>
      <c r="D9" s="74">
        <v>306474.65000000002</v>
      </c>
      <c r="E9" s="75">
        <v>240530.58</v>
      </c>
      <c r="F9" s="74"/>
      <c r="G9" s="74">
        <v>46635.210000000021</v>
      </c>
      <c r="H9" s="74"/>
      <c r="I9" s="77"/>
      <c r="J9" s="77">
        <v>30000</v>
      </c>
      <c r="K9" s="73"/>
      <c r="L9" s="73"/>
    </row>
    <row r="10" spans="1:12" x14ac:dyDescent="0.25">
      <c r="A10" s="74" t="s">
        <v>426</v>
      </c>
      <c r="B10" s="74">
        <v>219000</v>
      </c>
      <c r="C10" s="74">
        <v>218996.5</v>
      </c>
      <c r="D10" s="77">
        <v>196188.4</v>
      </c>
      <c r="E10" s="74">
        <v>0</v>
      </c>
      <c r="F10" s="74">
        <v>0</v>
      </c>
      <c r="G10" s="74">
        <v>3.5</v>
      </c>
      <c r="H10" s="74"/>
      <c r="I10" s="77"/>
      <c r="J10" s="77">
        <v>0</v>
      </c>
      <c r="K10" s="73"/>
      <c r="L10" s="73"/>
    </row>
    <row r="11" spans="1:12" x14ac:dyDescent="0.25">
      <c r="A11" s="74" t="s">
        <v>427</v>
      </c>
      <c r="B11" s="74">
        <v>3786500</v>
      </c>
      <c r="C11" s="74">
        <v>3261467.4</v>
      </c>
      <c r="D11" s="75">
        <v>2679178.65</v>
      </c>
      <c r="E11" s="74">
        <v>338582.24</v>
      </c>
      <c r="F11" s="74">
        <v>577740</v>
      </c>
      <c r="G11" s="74">
        <v>525032.60000000009</v>
      </c>
      <c r="H11" s="74"/>
      <c r="I11" s="77"/>
      <c r="J11" s="77">
        <v>490000</v>
      </c>
      <c r="K11" s="73"/>
      <c r="L11" s="73"/>
    </row>
    <row r="12" spans="1:12" x14ac:dyDescent="0.25">
      <c r="A12" s="74" t="s">
        <v>428</v>
      </c>
      <c r="B12" s="74">
        <v>320000</v>
      </c>
      <c r="C12" s="74">
        <v>303547.78999999998</v>
      </c>
      <c r="D12" s="74">
        <v>166674.93</v>
      </c>
      <c r="E12" s="74">
        <v>125479.24</v>
      </c>
      <c r="F12" s="74">
        <v>136903.81</v>
      </c>
      <c r="G12" s="74">
        <v>16452.210000000021</v>
      </c>
      <c r="H12" s="74"/>
      <c r="I12" s="77"/>
      <c r="J12" s="77">
        <v>15000</v>
      </c>
      <c r="K12" s="73"/>
      <c r="L12" s="73"/>
    </row>
    <row r="13" spans="1:12" x14ac:dyDescent="0.25">
      <c r="A13" s="74" t="s">
        <v>429</v>
      </c>
      <c r="B13" s="74">
        <v>358500</v>
      </c>
      <c r="C13" s="74">
        <v>354223.2</v>
      </c>
      <c r="D13" s="74">
        <v>206008.68</v>
      </c>
      <c r="E13" s="74">
        <v>0</v>
      </c>
      <c r="F13" s="74">
        <v>146800</v>
      </c>
      <c r="G13" s="74">
        <v>4276.7999999999884</v>
      </c>
      <c r="H13" s="74"/>
      <c r="I13" s="77"/>
      <c r="J13" s="77">
        <v>0</v>
      </c>
      <c r="K13" s="73"/>
      <c r="L13" s="73"/>
    </row>
    <row r="14" spans="1:12" x14ac:dyDescent="0.25">
      <c r="A14" s="74" t="s">
        <v>430</v>
      </c>
      <c r="B14" s="74">
        <v>61000</v>
      </c>
      <c r="C14" s="74">
        <v>58190</v>
      </c>
      <c r="D14" s="74">
        <v>15870</v>
      </c>
      <c r="E14" s="74">
        <v>0</v>
      </c>
      <c r="F14" s="74">
        <v>42320</v>
      </c>
      <c r="G14" s="74">
        <v>2810</v>
      </c>
      <c r="H14" s="74"/>
      <c r="I14" s="77"/>
      <c r="J14" s="77">
        <v>0</v>
      </c>
      <c r="K14" s="73"/>
      <c r="L14" s="73"/>
    </row>
    <row r="15" spans="1:12" x14ac:dyDescent="0.25">
      <c r="A15" s="74" t="s">
        <v>431</v>
      </c>
      <c r="B15" s="74">
        <v>48000</v>
      </c>
      <c r="C15" s="74">
        <v>43900</v>
      </c>
      <c r="D15" s="77">
        <v>43893.15</v>
      </c>
      <c r="E15" s="74">
        <v>43900</v>
      </c>
      <c r="F15" s="74">
        <v>0</v>
      </c>
      <c r="G15" s="74">
        <v>4100</v>
      </c>
      <c r="H15" s="74"/>
      <c r="I15" s="77"/>
      <c r="J15" s="77">
        <v>4000</v>
      </c>
      <c r="K15" s="73"/>
      <c r="L15" s="73"/>
    </row>
    <row r="16" spans="1:12" x14ac:dyDescent="0.25">
      <c r="A16" s="76" t="s">
        <v>294</v>
      </c>
      <c r="B16" s="76"/>
      <c r="C16" s="76"/>
      <c r="D16" s="76"/>
      <c r="E16" s="76"/>
      <c r="F16" s="76"/>
      <c r="G16" s="76"/>
      <c r="H16" s="76"/>
      <c r="I16" s="79">
        <v>450000</v>
      </c>
      <c r="J16" s="79">
        <v>1446500</v>
      </c>
      <c r="K16" s="73"/>
      <c r="L16" s="73"/>
    </row>
    <row r="19" spans="1:4" x14ac:dyDescent="0.25">
      <c r="A19" s="73" t="s">
        <v>432</v>
      </c>
      <c r="B19" s="73"/>
      <c r="C19" s="73"/>
      <c r="D19" s="73"/>
    </row>
    <row r="20" spans="1:4" x14ac:dyDescent="0.25">
      <c r="A20" s="73" t="s">
        <v>433</v>
      </c>
      <c r="B20" s="73"/>
      <c r="C20" s="73"/>
      <c r="D20" s="73"/>
    </row>
    <row r="22" spans="1:4" x14ac:dyDescent="0.25">
      <c r="A22" s="73" t="s">
        <v>295</v>
      </c>
      <c r="B22" s="73" t="s">
        <v>434</v>
      </c>
      <c r="C22" s="73"/>
      <c r="D22" s="73" t="s">
        <v>435</v>
      </c>
    </row>
    <row r="23" spans="1:4" x14ac:dyDescent="0.25">
      <c r="A23" s="73" t="s">
        <v>296</v>
      </c>
      <c r="B23" s="73" t="s">
        <v>434</v>
      </c>
      <c r="C23" s="73"/>
      <c r="D23" s="73" t="s">
        <v>436</v>
      </c>
    </row>
    <row r="24" spans="1:4" x14ac:dyDescent="0.25">
      <c r="A24" s="73" t="s">
        <v>297</v>
      </c>
      <c r="B24" s="73" t="s">
        <v>434</v>
      </c>
      <c r="C24" s="73"/>
      <c r="D24" s="73" t="s">
        <v>437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პროგრამები</vt:lpstr>
      <vt:lpstr>ნსდს-საკასო სექტემბერ-მოსალოდნე</vt:lpstr>
      <vt:lpstr>სოცი-საკასო 9 თვე</vt:lpstr>
      <vt:lpstr>დაზუსტებული ბიუჯეტი-8,09,16</vt:lpstr>
      <vt:lpstr>სოცი-გაწეული-მოსალოდნელი</vt:lpstr>
      <vt:lpstr>მედიკამენტები</vt:lpstr>
      <vt:lpstr>პროგრამები!Print_Area</vt:lpstr>
      <vt:lpstr>პროგრამები!Print_Titles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 Gulua</dc:creator>
  <cp:lastModifiedBy>Ekaterine Adamia</cp:lastModifiedBy>
  <cp:lastPrinted>2015-11-24T15:14:35Z</cp:lastPrinted>
  <dcterms:created xsi:type="dcterms:W3CDTF">2015-11-13T09:57:34Z</dcterms:created>
  <dcterms:modified xsi:type="dcterms:W3CDTF">2016-10-17T13:20:54Z</dcterms:modified>
</cp:coreProperties>
</file>